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Allianz_Konzern\2026-08-04_run1\"/>
    </mc:Choice>
  </mc:AlternateContent>
  <xr:revisionPtr revIDLastSave="0" documentId="13_ncr:1_{2AA1B0C8-2AC5-4435-8278-A9ABB2C27650}" xr6:coauthVersionLast="47" xr6:coauthVersionMax="47" xr10:uidLastSave="{00000000-0000-0000-0000-000000000000}"/>
  <bookViews>
    <workbookView xWindow="2966" yWindow="2957" windowWidth="18514" windowHeight="9394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5" i="7"/>
  <c r="B46" i="7" s="1"/>
  <c r="B34" i="7"/>
  <c r="B45" i="7" s="1"/>
  <c r="D26" i="7"/>
  <c r="D27" i="7" s="1"/>
  <c r="B26" i="7"/>
  <c r="B37" i="7" s="1"/>
  <c r="B48" i="7" s="1"/>
  <c r="C25" i="7"/>
  <c r="B25" i="7"/>
  <c r="B36" i="7" s="1"/>
  <c r="B47" i="7" s="1"/>
  <c r="D24" i="7"/>
  <c r="B24" i="7"/>
  <c r="B23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5" i="7" s="1"/>
  <c r="C10" i="7"/>
  <c r="C26" i="7" s="1"/>
  <c r="B6" i="7"/>
  <c r="D9" i="5"/>
  <c r="D8" i="5"/>
  <c r="D7" i="5"/>
  <c r="D6" i="5"/>
  <c r="D5" i="5"/>
  <c r="K120" i="4"/>
  <c r="J106" i="4"/>
  <c r="I106" i="4"/>
  <c r="H106" i="4"/>
  <c r="G106" i="4"/>
  <c r="F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D49" i="4"/>
  <c r="C49" i="4"/>
  <c r="I48" i="4"/>
  <c r="G48" i="4"/>
  <c r="F46" i="4"/>
  <c r="E46" i="4"/>
  <c r="D46" i="4"/>
  <c r="I45" i="4"/>
  <c r="I33" i="4"/>
  <c r="I39" i="4" s="1"/>
  <c r="H33" i="4"/>
  <c r="H39" i="4" s="1"/>
  <c r="J31" i="4"/>
  <c r="I31" i="4"/>
  <c r="H31" i="4"/>
  <c r="G31" i="4"/>
  <c r="F31" i="4"/>
  <c r="E31" i="4"/>
  <c r="D31" i="4"/>
  <c r="D37" i="4" s="1"/>
  <c r="D43" i="4" s="1"/>
  <c r="D55" i="4" s="1"/>
  <c r="C31" i="4"/>
  <c r="J30" i="4"/>
  <c r="I30" i="4"/>
  <c r="H30" i="4"/>
  <c r="G30" i="4"/>
  <c r="F30" i="4"/>
  <c r="E30" i="4"/>
  <c r="D30" i="4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D27" i="4"/>
  <c r="C27" i="4"/>
  <c r="J25" i="4"/>
  <c r="I25" i="4"/>
  <c r="H25" i="4"/>
  <c r="G25" i="4"/>
  <c r="F25" i="4"/>
  <c r="E25" i="4"/>
  <c r="D25" i="4"/>
  <c r="D63" i="4" s="1"/>
  <c r="C25" i="4"/>
  <c r="C63" i="4" s="1"/>
  <c r="C75" i="4" s="1"/>
  <c r="C81" i="4" s="1"/>
  <c r="J24" i="4"/>
  <c r="J48" i="4" s="1"/>
  <c r="I24" i="4"/>
  <c r="H24" i="4"/>
  <c r="G24" i="4"/>
  <c r="G36" i="4" s="1"/>
  <c r="G42" i="4" s="1"/>
  <c r="G54" i="4" s="1"/>
  <c r="F24" i="4"/>
  <c r="F36" i="4" s="1"/>
  <c r="F42" i="4" s="1"/>
  <c r="E24" i="4"/>
  <c r="E36" i="4" s="1"/>
  <c r="E42" i="4" s="1"/>
  <c r="D24" i="4"/>
  <c r="D48" i="4" s="1"/>
  <c r="C24" i="4"/>
  <c r="C48" i="4" s="1"/>
  <c r="J23" i="4"/>
  <c r="J47" i="4" s="1"/>
  <c r="I23" i="4"/>
  <c r="I47" i="4" s="1"/>
  <c r="H23" i="4"/>
  <c r="H47" i="4" s="1"/>
  <c r="G23" i="4"/>
  <c r="G47" i="4" s="1"/>
  <c r="F23" i="4"/>
  <c r="E23" i="4"/>
  <c r="E47" i="4" s="1"/>
  <c r="D23" i="4"/>
  <c r="D47" i="4" s="1"/>
  <c r="C23" i="4"/>
  <c r="C47" i="4" s="1"/>
  <c r="J22" i="4"/>
  <c r="I22" i="4"/>
  <c r="H22" i="4"/>
  <c r="G22" i="4"/>
  <c r="F22" i="4"/>
  <c r="E22" i="4"/>
  <c r="D22" i="4"/>
  <c r="C22" i="4"/>
  <c r="J21" i="4"/>
  <c r="I21" i="4"/>
  <c r="H21" i="4"/>
  <c r="H45" i="4" s="1"/>
  <c r="G21" i="4"/>
  <c r="G33" i="4" s="1"/>
  <c r="G39" i="4" s="1"/>
  <c r="F21" i="4"/>
  <c r="F33" i="4" s="1"/>
  <c r="F39" i="4" s="1"/>
  <c r="E21" i="4"/>
  <c r="E33" i="4" s="1"/>
  <c r="E39" i="4" s="1"/>
  <c r="D21" i="4"/>
  <c r="D33" i="4" s="1"/>
  <c r="D39" i="4" s="1"/>
  <c r="C21" i="4"/>
  <c r="C45" i="4" s="1"/>
  <c r="K120" i="3"/>
  <c r="J106" i="3"/>
  <c r="I106" i="3"/>
  <c r="H106" i="3"/>
  <c r="G106" i="3"/>
  <c r="F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G48" i="3"/>
  <c r="F48" i="3"/>
  <c r="D48" i="3"/>
  <c r="J47" i="3"/>
  <c r="I47" i="3"/>
  <c r="H47" i="3"/>
  <c r="G47" i="3"/>
  <c r="E47" i="3"/>
  <c r="F45" i="3"/>
  <c r="D45" i="3"/>
  <c r="C45" i="3"/>
  <c r="J39" i="3"/>
  <c r="F33" i="3"/>
  <c r="F39" i="3" s="1"/>
  <c r="E33" i="3"/>
  <c r="E39" i="3" s="1"/>
  <c r="D33" i="3"/>
  <c r="D39" i="3" s="1"/>
  <c r="C33" i="3"/>
  <c r="C39" i="3" s="1"/>
  <c r="J31" i="3"/>
  <c r="I31" i="3"/>
  <c r="H31" i="3"/>
  <c r="H37" i="3" s="1"/>
  <c r="H43" i="3" s="1"/>
  <c r="G31" i="3"/>
  <c r="G37" i="3" s="1"/>
  <c r="G43" i="3" s="1"/>
  <c r="F31" i="3"/>
  <c r="E31" i="3"/>
  <c r="D31" i="3"/>
  <c r="C31" i="3"/>
  <c r="J30" i="3"/>
  <c r="I30" i="3"/>
  <c r="H30" i="3"/>
  <c r="G30" i="3"/>
  <c r="F30" i="3"/>
  <c r="E30" i="3"/>
  <c r="D30" i="3"/>
  <c r="C30" i="3"/>
  <c r="J29" i="3"/>
  <c r="I29" i="3"/>
  <c r="H29" i="3"/>
  <c r="G29" i="3"/>
  <c r="G35" i="3" s="1"/>
  <c r="G41" i="3" s="1"/>
  <c r="G53" i="3" s="1"/>
  <c r="F29" i="3"/>
  <c r="E29" i="3"/>
  <c r="E35" i="3" s="1"/>
  <c r="E41" i="3" s="1"/>
  <c r="E53" i="3" s="1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I25" i="3"/>
  <c r="I49" i="3" s="1"/>
  <c r="H25" i="3"/>
  <c r="G25" i="3"/>
  <c r="F25" i="3"/>
  <c r="E25" i="3"/>
  <c r="D25" i="3"/>
  <c r="C25" i="3"/>
  <c r="C37" i="3" s="1"/>
  <c r="C43" i="3" s="1"/>
  <c r="J24" i="3"/>
  <c r="J36" i="3" s="1"/>
  <c r="J42" i="3" s="1"/>
  <c r="I24" i="3"/>
  <c r="I36" i="3" s="1"/>
  <c r="I42" i="3" s="1"/>
  <c r="H24" i="3"/>
  <c r="H36" i="3" s="1"/>
  <c r="H42" i="3" s="1"/>
  <c r="G24" i="3"/>
  <c r="F24" i="3"/>
  <c r="E24" i="3"/>
  <c r="E36" i="3" s="1"/>
  <c r="E42" i="3" s="1"/>
  <c r="D24" i="3"/>
  <c r="D36" i="3" s="1"/>
  <c r="D42" i="3" s="1"/>
  <c r="D54" i="3" s="1"/>
  <c r="C24" i="3"/>
  <c r="C48" i="3" s="1"/>
  <c r="J23" i="3"/>
  <c r="J35" i="3" s="1"/>
  <c r="J41" i="3" s="1"/>
  <c r="J53" i="3" s="1"/>
  <c r="I23" i="3"/>
  <c r="I35" i="3" s="1"/>
  <c r="I41" i="3" s="1"/>
  <c r="I53" i="3" s="1"/>
  <c r="H23" i="3"/>
  <c r="H35" i="3" s="1"/>
  <c r="H41" i="3" s="1"/>
  <c r="H53" i="3" s="1"/>
  <c r="G23" i="3"/>
  <c r="F23" i="3"/>
  <c r="F47" i="3" s="1"/>
  <c r="E23" i="3"/>
  <c r="D23" i="3"/>
  <c r="D47" i="3" s="1"/>
  <c r="C23" i="3"/>
  <c r="C47" i="3" s="1"/>
  <c r="J22" i="3"/>
  <c r="J46" i="3" s="1"/>
  <c r="I22" i="3"/>
  <c r="I46" i="3" s="1"/>
  <c r="H22" i="3"/>
  <c r="H46" i="3" s="1"/>
  <c r="G22" i="3"/>
  <c r="F22" i="3"/>
  <c r="E22" i="3"/>
  <c r="D22" i="3"/>
  <c r="C22" i="3"/>
  <c r="J21" i="3"/>
  <c r="J33" i="3" s="1"/>
  <c r="I21" i="3"/>
  <c r="H21" i="3"/>
  <c r="G21" i="3"/>
  <c r="G33" i="3" s="1"/>
  <c r="G39" i="3" s="1"/>
  <c r="F21" i="3"/>
  <c r="E21" i="3"/>
  <c r="E45" i="3" s="1"/>
  <c r="D21" i="3"/>
  <c r="C21" i="3"/>
  <c r="K120" i="2"/>
  <c r="J106" i="2"/>
  <c r="I106" i="2"/>
  <c r="H106" i="2"/>
  <c r="G106" i="2"/>
  <c r="F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G48" i="2"/>
  <c r="F48" i="2"/>
  <c r="E48" i="2"/>
  <c r="C48" i="2"/>
  <c r="J47" i="2"/>
  <c r="I47" i="2"/>
  <c r="F37" i="2"/>
  <c r="F43" i="2" s="1"/>
  <c r="F36" i="2"/>
  <c r="F42" i="2" s="1"/>
  <c r="F54" i="2" s="1"/>
  <c r="J35" i="2"/>
  <c r="J41" i="2" s="1"/>
  <c r="J53" i="2" s="1"/>
  <c r="G35" i="2"/>
  <c r="G41" i="2" s="1"/>
  <c r="G53" i="2" s="1"/>
  <c r="H33" i="2"/>
  <c r="H39" i="2" s="1"/>
  <c r="D33" i="2"/>
  <c r="D39" i="2" s="1"/>
  <c r="J31" i="2"/>
  <c r="I31" i="2"/>
  <c r="H31" i="2"/>
  <c r="G31" i="2"/>
  <c r="F31" i="2"/>
  <c r="E31" i="2"/>
  <c r="D31" i="2"/>
  <c r="C31" i="2"/>
  <c r="J30" i="2"/>
  <c r="I30" i="2"/>
  <c r="H30" i="2"/>
  <c r="G30" i="2"/>
  <c r="F30" i="2"/>
  <c r="E30" i="2"/>
  <c r="D30" i="2"/>
  <c r="C30" i="2"/>
  <c r="J29" i="2"/>
  <c r="I29" i="2"/>
  <c r="I35" i="2" s="1"/>
  <c r="I41" i="2" s="1"/>
  <c r="I53" i="2" s="1"/>
  <c r="H29" i="2"/>
  <c r="H35" i="2" s="1"/>
  <c r="H41" i="2" s="1"/>
  <c r="H53" i="2" s="1"/>
  <c r="G29" i="2"/>
  <c r="F29" i="2"/>
  <c r="E29" i="2"/>
  <c r="D29" i="2"/>
  <c r="C29" i="2"/>
  <c r="J28" i="2"/>
  <c r="I28" i="2"/>
  <c r="H28" i="2"/>
  <c r="G28" i="2"/>
  <c r="F28" i="2"/>
  <c r="E28" i="2"/>
  <c r="D28" i="2"/>
  <c r="C28" i="2"/>
  <c r="J27" i="2"/>
  <c r="I27" i="2"/>
  <c r="H27" i="2"/>
  <c r="G27" i="2"/>
  <c r="F27" i="2"/>
  <c r="E27" i="2"/>
  <c r="D27" i="2"/>
  <c r="C27" i="2"/>
  <c r="J25" i="2"/>
  <c r="J49" i="2" s="1"/>
  <c r="I25" i="2"/>
  <c r="I63" i="2" s="1"/>
  <c r="H25" i="2"/>
  <c r="H63" i="2" s="1"/>
  <c r="G25" i="2"/>
  <c r="F25" i="2"/>
  <c r="F49" i="2" s="1"/>
  <c r="E25" i="2"/>
  <c r="D25" i="2"/>
  <c r="C25" i="2"/>
  <c r="J24" i="2"/>
  <c r="I24" i="2"/>
  <c r="H24" i="2"/>
  <c r="G24" i="2"/>
  <c r="F24" i="2"/>
  <c r="E24" i="2"/>
  <c r="D24" i="2"/>
  <c r="C24" i="2"/>
  <c r="J23" i="2"/>
  <c r="I23" i="2"/>
  <c r="H23" i="2"/>
  <c r="H47" i="2" s="1"/>
  <c r="G23" i="2"/>
  <c r="G47" i="2" s="1"/>
  <c r="F23" i="2"/>
  <c r="F47" i="2" s="1"/>
  <c r="E23" i="2"/>
  <c r="E47" i="2" s="1"/>
  <c r="D23" i="2"/>
  <c r="C23" i="2"/>
  <c r="C47" i="2" s="1"/>
  <c r="J22" i="2"/>
  <c r="I22" i="2"/>
  <c r="H22" i="2"/>
  <c r="G22" i="2"/>
  <c r="G46" i="2" s="1"/>
  <c r="F22" i="2"/>
  <c r="E22" i="2"/>
  <c r="D22" i="2"/>
  <c r="C22" i="2"/>
  <c r="J21" i="2"/>
  <c r="I21" i="2"/>
  <c r="I45" i="2" s="1"/>
  <c r="H21" i="2"/>
  <c r="H45" i="2" s="1"/>
  <c r="G21" i="2"/>
  <c r="F21" i="2"/>
  <c r="F45" i="2" s="1"/>
  <c r="E21" i="2"/>
  <c r="E45" i="2" s="1"/>
  <c r="D21" i="2"/>
  <c r="D45" i="2" s="1"/>
  <c r="C21" i="2"/>
  <c r="C33" i="2" s="1"/>
  <c r="C39" i="2" s="1"/>
  <c r="B37" i="1"/>
  <c r="B38" i="1" s="1"/>
  <c r="B30" i="1"/>
  <c r="B29" i="1"/>
  <c r="B28" i="1"/>
  <c r="B23" i="1"/>
  <c r="B26" i="1" s="1"/>
  <c r="B31" i="1" s="1"/>
  <c r="B14" i="1"/>
  <c r="D87" i="4" l="1"/>
  <c r="D75" i="4"/>
  <c r="D81" i="4" s="1"/>
  <c r="D93" i="4" s="1"/>
  <c r="E104" i="2"/>
  <c r="E104" i="3"/>
  <c r="E51" i="4"/>
  <c r="E57" i="4" s="1"/>
  <c r="J54" i="4"/>
  <c r="H51" i="4"/>
  <c r="H57" i="4" s="1"/>
  <c r="H51" i="2"/>
  <c r="I51" i="4"/>
  <c r="G35" i="4"/>
  <c r="G41" i="4" s="1"/>
  <c r="G53" i="4" s="1"/>
  <c r="G59" i="4" s="1"/>
  <c r="D51" i="2"/>
  <c r="I54" i="3"/>
  <c r="J16" i="2"/>
  <c r="J107" i="2" s="1"/>
  <c r="C51" i="3"/>
  <c r="B27" i="7"/>
  <c r="F48" i="4"/>
  <c r="F54" i="4" s="1"/>
  <c r="G33" i="2"/>
  <c r="G39" i="2" s="1"/>
  <c r="E36" i="2"/>
  <c r="E42" i="2" s="1"/>
  <c r="E54" i="2" s="1"/>
  <c r="D35" i="3"/>
  <c r="D41" i="3" s="1"/>
  <c r="D53" i="3" s="1"/>
  <c r="C34" i="4"/>
  <c r="C40" i="4" s="1"/>
  <c r="C52" i="4" s="1"/>
  <c r="I36" i="4"/>
  <c r="I42" i="4" s="1"/>
  <c r="I54" i="4" s="1"/>
  <c r="J35" i="4"/>
  <c r="J41" i="4" s="1"/>
  <c r="J53" i="4" s="1"/>
  <c r="E48" i="3"/>
  <c r="D22" i="7"/>
  <c r="D33" i="7" s="1"/>
  <c r="D44" i="7" s="1"/>
  <c r="H35" i="4"/>
  <c r="H41" i="4" s="1"/>
  <c r="H53" i="4" s="1"/>
  <c r="E48" i="4"/>
  <c r="E54" i="4" s="1"/>
  <c r="C45" i="2"/>
  <c r="C51" i="2" s="1"/>
  <c r="D34" i="4"/>
  <c r="D40" i="4" s="1"/>
  <c r="D52" i="4" s="1"/>
  <c r="F35" i="3"/>
  <c r="F41" i="3" s="1"/>
  <c r="F53" i="3" s="1"/>
  <c r="C37" i="4"/>
  <c r="C43" i="4" s="1"/>
  <c r="C55" i="4" s="1"/>
  <c r="C61" i="4" s="1"/>
  <c r="C34" i="2"/>
  <c r="C40" i="2" s="1"/>
  <c r="I36" i="2"/>
  <c r="I42" i="2" s="1"/>
  <c r="E37" i="4"/>
  <c r="E43" i="4" s="1"/>
  <c r="E22" i="7"/>
  <c r="E33" i="7" s="1"/>
  <c r="E44" i="7" s="1"/>
  <c r="E24" i="7"/>
  <c r="E35" i="7" s="1"/>
  <c r="E46" i="7" s="1"/>
  <c r="E33" i="2"/>
  <c r="E39" i="2" s="1"/>
  <c r="E51" i="2" s="1"/>
  <c r="E57" i="2" s="1"/>
  <c r="J63" i="2"/>
  <c r="J87" i="2" s="1"/>
  <c r="J36" i="4"/>
  <c r="J42" i="4" s="1"/>
  <c r="C22" i="7"/>
  <c r="C33" i="7" s="1"/>
  <c r="C44" i="7" s="1"/>
  <c r="H36" i="2"/>
  <c r="H42" i="2" s="1"/>
  <c r="D34" i="2"/>
  <c r="D40" i="2" s="1"/>
  <c r="J36" i="2"/>
  <c r="J42" i="2" s="1"/>
  <c r="G45" i="2"/>
  <c r="F37" i="4"/>
  <c r="F43" i="4" s="1"/>
  <c r="D37" i="3"/>
  <c r="D43" i="3" s="1"/>
  <c r="C36" i="2"/>
  <c r="C42" i="2" s="1"/>
  <c r="C54" i="2" s="1"/>
  <c r="F51" i="3"/>
  <c r="E34" i="4"/>
  <c r="E40" i="4" s="1"/>
  <c r="E52" i="4" s="1"/>
  <c r="J33" i="2"/>
  <c r="J39" i="2" s="1"/>
  <c r="C36" i="3"/>
  <c r="C42" i="3" s="1"/>
  <c r="C54" i="3" s="1"/>
  <c r="H48" i="3"/>
  <c r="H54" i="3" s="1"/>
  <c r="G37" i="4"/>
  <c r="G43" i="4" s="1"/>
  <c r="C33" i="4"/>
  <c r="C39" i="4" s="1"/>
  <c r="C51" i="4" s="1"/>
  <c r="C57" i="4" s="1"/>
  <c r="D45" i="4"/>
  <c r="D51" i="4" s="1"/>
  <c r="C27" i="7"/>
  <c r="C38" i="7" s="1"/>
  <c r="C49" i="7" s="1"/>
  <c r="C23" i="7"/>
  <c r="C34" i="7" s="1"/>
  <c r="C45" i="7" s="1"/>
  <c r="J37" i="2"/>
  <c r="J43" i="2" s="1"/>
  <c r="J55" i="2" s="1"/>
  <c r="D51" i="3"/>
  <c r="I48" i="3"/>
  <c r="E45" i="4"/>
  <c r="D23" i="7"/>
  <c r="D34" i="7" s="1"/>
  <c r="D45" i="7" s="1"/>
  <c r="I35" i="4"/>
  <c r="I41" i="4" s="1"/>
  <c r="I53" i="4" s="1"/>
  <c r="J33" i="4"/>
  <c r="J39" i="4" s="1"/>
  <c r="E23" i="7"/>
  <c r="E34" i="7" s="1"/>
  <c r="E45" i="7" s="1"/>
  <c r="C36" i="4"/>
  <c r="C42" i="4" s="1"/>
  <c r="C54" i="4" s="1"/>
  <c r="D36" i="4"/>
  <c r="D42" i="4" s="1"/>
  <c r="D54" i="4" s="1"/>
  <c r="D11" i="5"/>
  <c r="D12" i="5" s="1"/>
  <c r="C35" i="2"/>
  <c r="C41" i="2" s="1"/>
  <c r="C53" i="2" s="1"/>
  <c r="I37" i="2"/>
  <c r="I43" i="2" s="1"/>
  <c r="E54" i="3"/>
  <c r="F45" i="4"/>
  <c r="F51" i="4" s="1"/>
  <c r="F57" i="4" s="1"/>
  <c r="H33" i="3"/>
  <c r="H39" i="3" s="1"/>
  <c r="F36" i="3"/>
  <c r="F42" i="3" s="1"/>
  <c r="F54" i="3" s="1"/>
  <c r="G45" i="4"/>
  <c r="E35" i="2"/>
  <c r="E41" i="2" s="1"/>
  <c r="E53" i="2" s="1"/>
  <c r="C24" i="7"/>
  <c r="C35" i="7" s="1"/>
  <c r="C46" i="7" s="1"/>
  <c r="H75" i="2"/>
  <c r="H81" i="2" s="1"/>
  <c r="H64" i="2"/>
  <c r="H87" i="2"/>
  <c r="J54" i="3"/>
  <c r="F55" i="2"/>
  <c r="I34" i="4"/>
  <c r="I40" i="4" s="1"/>
  <c r="I46" i="4"/>
  <c r="D99" i="4"/>
  <c r="C63" i="2"/>
  <c r="C49" i="2"/>
  <c r="I75" i="2"/>
  <c r="I81" i="2" s="1"/>
  <c r="I64" i="2"/>
  <c r="J45" i="2"/>
  <c r="J51" i="2" s="1"/>
  <c r="D46" i="2"/>
  <c r="D52" i="2" s="1"/>
  <c r="G46" i="3"/>
  <c r="G34" i="3"/>
  <c r="G40" i="3" s="1"/>
  <c r="G52" i="3" s="1"/>
  <c r="E63" i="3"/>
  <c r="E49" i="3"/>
  <c r="E37" i="3"/>
  <c r="E43" i="3" s="1"/>
  <c r="D35" i="2"/>
  <c r="D41" i="2" s="1"/>
  <c r="D47" i="2"/>
  <c r="F63" i="2"/>
  <c r="J48" i="3"/>
  <c r="H104" i="3"/>
  <c r="G34" i="2"/>
  <c r="G40" i="2" s="1"/>
  <c r="G52" i="2" s="1"/>
  <c r="C49" i="3"/>
  <c r="C55" i="3" s="1"/>
  <c r="C61" i="3" s="1"/>
  <c r="I104" i="3"/>
  <c r="C64" i="4"/>
  <c r="C87" i="4"/>
  <c r="G34" i="4"/>
  <c r="G40" i="4" s="1"/>
  <c r="G46" i="4"/>
  <c r="C93" i="4"/>
  <c r="C46" i="2"/>
  <c r="F34" i="3"/>
  <c r="F40" i="3" s="1"/>
  <c r="F46" i="3"/>
  <c r="J46" i="4"/>
  <c r="J34" i="4"/>
  <c r="J40" i="4" s="1"/>
  <c r="J52" i="4" s="1"/>
  <c r="D49" i="2"/>
  <c r="D63" i="2"/>
  <c r="H34" i="2"/>
  <c r="H40" i="2" s="1"/>
  <c r="H46" i="2"/>
  <c r="H37" i="2"/>
  <c r="H43" i="2" s="1"/>
  <c r="F104" i="3"/>
  <c r="J104" i="3"/>
  <c r="E34" i="3"/>
  <c r="E40" i="3" s="1"/>
  <c r="E46" i="3"/>
  <c r="C35" i="3"/>
  <c r="C41" i="3" s="1"/>
  <c r="C53" i="3" s="1"/>
  <c r="C59" i="3" s="1"/>
  <c r="C16" i="4"/>
  <c r="C60" i="4" s="1"/>
  <c r="D49" i="3"/>
  <c r="D55" i="3" s="1"/>
  <c r="D61" i="3" s="1"/>
  <c r="C16" i="2"/>
  <c r="C60" i="2" s="1"/>
  <c r="H48" i="2"/>
  <c r="H54" i="2" s="1"/>
  <c r="H60" i="2" s="1"/>
  <c r="D104" i="2"/>
  <c r="I48" i="2"/>
  <c r="I54" i="2" s="1"/>
  <c r="I60" i="2" s="1"/>
  <c r="J45" i="4"/>
  <c r="J51" i="4" s="1"/>
  <c r="J57" i="4" s="1"/>
  <c r="F63" i="4"/>
  <c r="C104" i="4"/>
  <c r="J104" i="2"/>
  <c r="J59" i="2" s="1"/>
  <c r="I104" i="2"/>
  <c r="H104" i="2"/>
  <c r="E104" i="4"/>
  <c r="D104" i="3"/>
  <c r="D104" i="4"/>
  <c r="C104" i="3"/>
  <c r="F35" i="2"/>
  <c r="F41" i="2" s="1"/>
  <c r="F53" i="2" s="1"/>
  <c r="J75" i="2"/>
  <c r="J81" i="2" s="1"/>
  <c r="J93" i="2" s="1"/>
  <c r="J64" i="2"/>
  <c r="I87" i="2"/>
  <c r="E63" i="4"/>
  <c r="J48" i="2"/>
  <c r="J54" i="2" s="1"/>
  <c r="F104" i="2"/>
  <c r="C46" i="4"/>
  <c r="G63" i="4"/>
  <c r="F104" i="4"/>
  <c r="H34" i="4"/>
  <c r="H40" i="4" s="1"/>
  <c r="H46" i="4"/>
  <c r="E46" i="2"/>
  <c r="E34" i="2"/>
  <c r="E40" i="2" s="1"/>
  <c r="E52" i="2" s="1"/>
  <c r="E58" i="2" s="1"/>
  <c r="I46" i="2"/>
  <c r="I34" i="2"/>
  <c r="I40" i="2" s="1"/>
  <c r="E51" i="3"/>
  <c r="F35" i="4"/>
  <c r="F41" i="4" s="1"/>
  <c r="E49" i="4"/>
  <c r="J34" i="2"/>
  <c r="J40" i="2" s="1"/>
  <c r="J46" i="2"/>
  <c r="G104" i="3"/>
  <c r="C104" i="2"/>
  <c r="G104" i="2"/>
  <c r="D64" i="4"/>
  <c r="G104" i="4"/>
  <c r="I16" i="2"/>
  <c r="I107" i="2" s="1"/>
  <c r="J16" i="3"/>
  <c r="J107" i="3" s="1"/>
  <c r="G16" i="2"/>
  <c r="G107" i="2" s="1"/>
  <c r="I16" i="3"/>
  <c r="I59" i="3" s="1"/>
  <c r="H16" i="3"/>
  <c r="H59" i="3" s="1"/>
  <c r="E16" i="2"/>
  <c r="E60" i="2" s="1"/>
  <c r="J16" i="4"/>
  <c r="J60" i="4" s="1"/>
  <c r="G16" i="3"/>
  <c r="G59" i="3" s="1"/>
  <c r="F16" i="3"/>
  <c r="F60" i="3" s="1"/>
  <c r="E16" i="3"/>
  <c r="E59" i="3" s="1"/>
  <c r="D16" i="3"/>
  <c r="C16" i="3"/>
  <c r="I16" i="4"/>
  <c r="H16" i="4"/>
  <c r="G16" i="4"/>
  <c r="H16" i="2"/>
  <c r="H59" i="2" s="1"/>
  <c r="F16" i="2"/>
  <c r="D16" i="2"/>
  <c r="F16" i="4"/>
  <c r="E16" i="4"/>
  <c r="D16" i="4"/>
  <c r="F49" i="4"/>
  <c r="F55" i="4" s="1"/>
  <c r="H49" i="2"/>
  <c r="H104" i="4"/>
  <c r="H63" i="4"/>
  <c r="H49" i="4"/>
  <c r="H37" i="4"/>
  <c r="H43" i="4" s="1"/>
  <c r="I37" i="4"/>
  <c r="I43" i="4" s="1"/>
  <c r="E63" i="2"/>
  <c r="E49" i="2"/>
  <c r="G63" i="2"/>
  <c r="G49" i="2"/>
  <c r="G37" i="2"/>
  <c r="G43" i="2" s="1"/>
  <c r="I37" i="3"/>
  <c r="I43" i="3" s="1"/>
  <c r="I55" i="3" s="1"/>
  <c r="G45" i="3"/>
  <c r="G51" i="3" s="1"/>
  <c r="H36" i="4"/>
  <c r="H42" i="4" s="1"/>
  <c r="H48" i="4"/>
  <c r="I104" i="4"/>
  <c r="F46" i="2"/>
  <c r="F34" i="2"/>
  <c r="F40" i="2" s="1"/>
  <c r="G49" i="4"/>
  <c r="H45" i="3"/>
  <c r="H51" i="3" s="1"/>
  <c r="C63" i="3"/>
  <c r="G51" i="2"/>
  <c r="G57" i="2" s="1"/>
  <c r="C37" i="2"/>
  <c r="C43" i="2" s="1"/>
  <c r="C55" i="2" s="1"/>
  <c r="I33" i="3"/>
  <c r="I39" i="3" s="1"/>
  <c r="G36" i="3"/>
  <c r="G42" i="3" s="1"/>
  <c r="G54" i="3" s="1"/>
  <c r="I45" i="3"/>
  <c r="D63" i="3"/>
  <c r="J104" i="4"/>
  <c r="D34" i="3"/>
  <c r="D40" i="3" s="1"/>
  <c r="D46" i="3"/>
  <c r="J45" i="3"/>
  <c r="J51" i="3" s="1"/>
  <c r="I63" i="3"/>
  <c r="D37" i="2"/>
  <c r="D43" i="2" s="1"/>
  <c r="E37" i="2"/>
  <c r="E43" i="2" s="1"/>
  <c r="C34" i="3"/>
  <c r="C40" i="3" s="1"/>
  <c r="C46" i="3"/>
  <c r="F34" i="4"/>
  <c r="F40" i="4" s="1"/>
  <c r="F52" i="4" s="1"/>
  <c r="F63" i="3"/>
  <c r="F49" i="3"/>
  <c r="J63" i="4"/>
  <c r="J49" i="4"/>
  <c r="C36" i="7"/>
  <c r="C47" i="7" s="1"/>
  <c r="I63" i="4"/>
  <c r="I49" i="4"/>
  <c r="G63" i="3"/>
  <c r="G49" i="3"/>
  <c r="G55" i="3" s="1"/>
  <c r="G61" i="3" s="1"/>
  <c r="H63" i="3"/>
  <c r="H49" i="3"/>
  <c r="H55" i="3" s="1"/>
  <c r="H61" i="3" s="1"/>
  <c r="F37" i="3"/>
  <c r="F43" i="3" s="1"/>
  <c r="J37" i="4"/>
  <c r="J43" i="4" s="1"/>
  <c r="F47" i="4"/>
  <c r="C37" i="7"/>
  <c r="C48" i="7" s="1"/>
  <c r="D37" i="7"/>
  <c r="D48" i="7" s="1"/>
  <c r="D36" i="7"/>
  <c r="D47" i="7" s="1"/>
  <c r="E37" i="7"/>
  <c r="E48" i="7" s="1"/>
  <c r="D38" i="7"/>
  <c r="D49" i="7" s="1"/>
  <c r="J63" i="3"/>
  <c r="J49" i="3"/>
  <c r="J37" i="3"/>
  <c r="J43" i="3" s="1"/>
  <c r="E27" i="7"/>
  <c r="C35" i="4"/>
  <c r="C41" i="4" s="1"/>
  <c r="C53" i="4" s="1"/>
  <c r="F33" i="2"/>
  <c r="F39" i="2" s="1"/>
  <c r="F51" i="2" s="1"/>
  <c r="D36" i="2"/>
  <c r="D42" i="2" s="1"/>
  <c r="D54" i="2" s="1"/>
  <c r="G51" i="4"/>
  <c r="G57" i="4" s="1"/>
  <c r="H34" i="3"/>
  <c r="H40" i="3" s="1"/>
  <c r="H52" i="3" s="1"/>
  <c r="D35" i="4"/>
  <c r="D41" i="4" s="1"/>
  <c r="D53" i="4" s="1"/>
  <c r="D35" i="7"/>
  <c r="D46" i="7" s="1"/>
  <c r="I34" i="3"/>
  <c r="I40" i="3" s="1"/>
  <c r="I52" i="3" s="1"/>
  <c r="E35" i="4"/>
  <c r="E41" i="4" s="1"/>
  <c r="E53" i="4" s="1"/>
  <c r="D28" i="7"/>
  <c r="I33" i="2"/>
  <c r="I39" i="2" s="1"/>
  <c r="I51" i="2" s="1"/>
  <c r="G36" i="2"/>
  <c r="G42" i="2" s="1"/>
  <c r="G54" i="2" s="1"/>
  <c r="D48" i="2"/>
  <c r="J34" i="3"/>
  <c r="J40" i="3" s="1"/>
  <c r="J52" i="3" s="1"/>
  <c r="I49" i="2"/>
  <c r="I55" i="2" s="1"/>
  <c r="E25" i="7"/>
  <c r="E36" i="7" s="1"/>
  <c r="E47" i="7" s="1"/>
  <c r="J61" i="2" l="1"/>
  <c r="J57" i="2"/>
  <c r="J60" i="2"/>
  <c r="I61" i="2"/>
  <c r="J58" i="3"/>
  <c r="F58" i="4"/>
  <c r="F52" i="2"/>
  <c r="D57" i="4"/>
  <c r="C28" i="7"/>
  <c r="G55" i="4"/>
  <c r="G61" i="4" s="1"/>
  <c r="I59" i="2"/>
  <c r="F107" i="2"/>
  <c r="I60" i="3"/>
  <c r="J55" i="3"/>
  <c r="J61" i="3" s="1"/>
  <c r="I107" i="3"/>
  <c r="G107" i="3"/>
  <c r="E59" i="4"/>
  <c r="H107" i="3"/>
  <c r="B38" i="7"/>
  <c r="B49" i="7" s="1"/>
  <c r="B28" i="7"/>
  <c r="F52" i="3"/>
  <c r="C52" i="2"/>
  <c r="C58" i="2" s="1"/>
  <c r="I58" i="3"/>
  <c r="G107" i="4"/>
  <c r="J52" i="2"/>
  <c r="J58" i="2" s="1"/>
  <c r="D58" i="4"/>
  <c r="J59" i="3"/>
  <c r="F60" i="4"/>
  <c r="D57" i="2"/>
  <c r="J60" i="3"/>
  <c r="J107" i="4"/>
  <c r="J57" i="3"/>
  <c r="F107" i="3"/>
  <c r="E55" i="4"/>
  <c r="E61" i="4" s="1"/>
  <c r="I57" i="2"/>
  <c r="H107" i="4"/>
  <c r="D59" i="4"/>
  <c r="G57" i="3"/>
  <c r="E60" i="4"/>
  <c r="D61" i="4"/>
  <c r="H57" i="3"/>
  <c r="I107" i="4"/>
  <c r="C60" i="3"/>
  <c r="H52" i="2"/>
  <c r="H58" i="2" s="1"/>
  <c r="C59" i="4"/>
  <c r="F61" i="4"/>
  <c r="G52" i="4"/>
  <c r="G59" i="2"/>
  <c r="J99" i="2"/>
  <c r="H58" i="3"/>
  <c r="J55" i="4"/>
  <c r="J61" i="4" s="1"/>
  <c r="I61" i="3"/>
  <c r="F55" i="3"/>
  <c r="F61" i="3" s="1"/>
  <c r="D59" i="3"/>
  <c r="I52" i="2"/>
  <c r="I58" i="2" s="1"/>
  <c r="G58" i="2"/>
  <c r="F75" i="2"/>
  <c r="F81" i="2" s="1"/>
  <c r="F64" i="2"/>
  <c r="F87" i="2"/>
  <c r="F61" i="2"/>
  <c r="I60" i="4"/>
  <c r="I52" i="4"/>
  <c r="I58" i="4" s="1"/>
  <c r="F60" i="2"/>
  <c r="C57" i="2"/>
  <c r="J59" i="4"/>
  <c r="D52" i="3"/>
  <c r="D58" i="3" s="1"/>
  <c r="F57" i="2"/>
  <c r="D64" i="3"/>
  <c r="D87" i="3"/>
  <c r="D75" i="3"/>
  <c r="D81" i="3" s="1"/>
  <c r="G60" i="3"/>
  <c r="G55" i="2"/>
  <c r="G61" i="2" s="1"/>
  <c r="F53" i="4"/>
  <c r="F59" i="4" s="1"/>
  <c r="F59" i="2"/>
  <c r="C29" i="7"/>
  <c r="C39" i="7"/>
  <c r="C50" i="7" s="1"/>
  <c r="D53" i="2"/>
  <c r="D59" i="2" s="1"/>
  <c r="E59" i="2"/>
  <c r="C58" i="4"/>
  <c r="E57" i="3"/>
  <c r="F58" i="3"/>
  <c r="H59" i="4"/>
  <c r="E52" i="3"/>
  <c r="E58" i="3" s="1"/>
  <c r="C99" i="4"/>
  <c r="E87" i="3"/>
  <c r="E64" i="3"/>
  <c r="E75" i="3"/>
  <c r="E81" i="3" s="1"/>
  <c r="E75" i="4"/>
  <c r="E81" i="4" s="1"/>
  <c r="E93" i="4" s="1"/>
  <c r="E99" i="4" s="1"/>
  <c r="E64" i="4"/>
  <c r="E87" i="4"/>
  <c r="I51" i="3"/>
  <c r="I57" i="3" s="1"/>
  <c r="I55" i="4"/>
  <c r="I61" i="4" s="1"/>
  <c r="G58" i="3"/>
  <c r="H54" i="4"/>
  <c r="H60" i="4" s="1"/>
  <c r="H60" i="3"/>
  <c r="J87" i="4"/>
  <c r="J64" i="4"/>
  <c r="J75" i="4"/>
  <c r="J81" i="4" s="1"/>
  <c r="J93" i="4" s="1"/>
  <c r="J99" i="4" s="1"/>
  <c r="H55" i="4"/>
  <c r="H61" i="4" s="1"/>
  <c r="F59" i="3"/>
  <c r="E60" i="3"/>
  <c r="C57" i="3"/>
  <c r="J58" i="4"/>
  <c r="G75" i="3"/>
  <c r="G81" i="3" s="1"/>
  <c r="G93" i="3" s="1"/>
  <c r="G99" i="3" s="1"/>
  <c r="G64" i="3"/>
  <c r="G87" i="3"/>
  <c r="G75" i="2"/>
  <c r="G81" i="2" s="1"/>
  <c r="G64" i="2"/>
  <c r="G87" i="2"/>
  <c r="E55" i="3"/>
  <c r="E61" i="3" s="1"/>
  <c r="G60" i="2"/>
  <c r="J75" i="3"/>
  <c r="J81" i="3" s="1"/>
  <c r="J64" i="3"/>
  <c r="J87" i="3"/>
  <c r="F87" i="3"/>
  <c r="F64" i="3"/>
  <c r="F75" i="3"/>
  <c r="F81" i="3" s="1"/>
  <c r="F93" i="3" s="1"/>
  <c r="F99" i="3" s="1"/>
  <c r="I57" i="4"/>
  <c r="C59" i="2"/>
  <c r="D60" i="4"/>
  <c r="I87" i="4"/>
  <c r="I64" i="4"/>
  <c r="I75" i="4"/>
  <c r="I81" i="4" s="1"/>
  <c r="D58" i="2"/>
  <c r="C87" i="3"/>
  <c r="C64" i="3"/>
  <c r="C75" i="3"/>
  <c r="C81" i="3" s="1"/>
  <c r="E64" i="2"/>
  <c r="E87" i="2"/>
  <c r="E75" i="2"/>
  <c r="E81" i="2" s="1"/>
  <c r="D57" i="3"/>
  <c r="H87" i="4"/>
  <c r="H64" i="4"/>
  <c r="H75" i="4"/>
  <c r="H81" i="4" s="1"/>
  <c r="H52" i="4"/>
  <c r="H58" i="4" s="1"/>
  <c r="D60" i="2"/>
  <c r="H75" i="3"/>
  <c r="H81" i="3" s="1"/>
  <c r="H64" i="3"/>
  <c r="H87" i="3"/>
  <c r="E38" i="7"/>
  <c r="E49" i="7" s="1"/>
  <c r="E28" i="7"/>
  <c r="D29" i="7"/>
  <c r="D39" i="7"/>
  <c r="D50" i="7" s="1"/>
  <c r="F57" i="3"/>
  <c r="E58" i="4"/>
  <c r="I76" i="2"/>
  <c r="I82" i="2" s="1"/>
  <c r="I65" i="2"/>
  <c r="I88" i="2"/>
  <c r="D60" i="3"/>
  <c r="H55" i="2"/>
  <c r="H61" i="2" s="1"/>
  <c r="I93" i="2"/>
  <c r="I99" i="2" s="1"/>
  <c r="H57" i="2"/>
  <c r="E55" i="2"/>
  <c r="E61" i="2" s="1"/>
  <c r="G58" i="4"/>
  <c r="D75" i="2"/>
  <c r="D81" i="2" s="1"/>
  <c r="D64" i="2"/>
  <c r="D87" i="2"/>
  <c r="J65" i="2"/>
  <c r="J88" i="2"/>
  <c r="J76" i="2"/>
  <c r="J82" i="2" s="1"/>
  <c r="J94" i="2" s="1"/>
  <c r="J100" i="2" s="1"/>
  <c r="C61" i="2"/>
  <c r="C52" i="3"/>
  <c r="C58" i="3" s="1"/>
  <c r="F58" i="2"/>
  <c r="F87" i="4"/>
  <c r="F64" i="4"/>
  <c r="F75" i="4"/>
  <c r="F81" i="4" s="1"/>
  <c r="I59" i="4"/>
  <c r="H107" i="2"/>
  <c r="D55" i="2"/>
  <c r="D61" i="2" s="1"/>
  <c r="G64" i="4"/>
  <c r="G87" i="4"/>
  <c r="G75" i="4"/>
  <c r="G81" i="4" s="1"/>
  <c r="G93" i="4" s="1"/>
  <c r="G99" i="4" s="1"/>
  <c r="G60" i="4"/>
  <c r="H76" i="2"/>
  <c r="H82" i="2" s="1"/>
  <c r="H88" i="2"/>
  <c r="H65" i="2"/>
  <c r="C88" i="4"/>
  <c r="C65" i="4"/>
  <c r="C76" i="4"/>
  <c r="C82" i="4" s="1"/>
  <c r="C94" i="4" s="1"/>
  <c r="C100" i="4" s="1"/>
  <c r="H93" i="2"/>
  <c r="H99" i="2" s="1"/>
  <c r="I75" i="3"/>
  <c r="I81" i="3" s="1"/>
  <c r="I64" i="3"/>
  <c r="I87" i="3"/>
  <c r="F107" i="4"/>
  <c r="D88" i="4"/>
  <c r="D65" i="4"/>
  <c r="D76" i="4"/>
  <c r="D82" i="4" s="1"/>
  <c r="D94" i="4" s="1"/>
  <c r="D100" i="4" s="1"/>
  <c r="C87" i="2"/>
  <c r="C75" i="2"/>
  <c r="C81" i="2" s="1"/>
  <c r="C64" i="2"/>
  <c r="B29" i="7" l="1"/>
  <c r="B39" i="7"/>
  <c r="B50" i="7" s="1"/>
  <c r="I94" i="2"/>
  <c r="I100" i="2" s="1"/>
  <c r="F93" i="4"/>
  <c r="F99" i="4" s="1"/>
  <c r="E93" i="2"/>
  <c r="E99" i="2" s="1"/>
  <c r="D40" i="7"/>
  <c r="D51" i="7" s="1"/>
  <c r="D30" i="7"/>
  <c r="J76" i="4"/>
  <c r="J82" i="4" s="1"/>
  <c r="J88" i="4"/>
  <c r="J65" i="4"/>
  <c r="I93" i="3"/>
  <c r="I99" i="3" s="1"/>
  <c r="H76" i="3"/>
  <c r="H82" i="3" s="1"/>
  <c r="H65" i="3"/>
  <c r="H88" i="3"/>
  <c r="H93" i="3"/>
  <c r="H99" i="3" s="1"/>
  <c r="I93" i="4"/>
  <c r="I99" i="4" s="1"/>
  <c r="F76" i="3"/>
  <c r="F82" i="3" s="1"/>
  <c r="F65" i="3"/>
  <c r="F88" i="3"/>
  <c r="H93" i="4"/>
  <c r="H99" i="4" s="1"/>
  <c r="H89" i="2"/>
  <c r="H66" i="2"/>
  <c r="H77" i="2"/>
  <c r="H83" i="2" s="1"/>
  <c r="C30" i="7"/>
  <c r="C40" i="7"/>
  <c r="C51" i="7" s="1"/>
  <c r="I76" i="4"/>
  <c r="I82" i="4" s="1"/>
  <c r="I88" i="4"/>
  <c r="I65" i="4"/>
  <c r="F93" i="2"/>
  <c r="F99" i="2" s="1"/>
  <c r="J93" i="3"/>
  <c r="J99" i="3" s="1"/>
  <c r="H94" i="2"/>
  <c r="H100" i="2" s="1"/>
  <c r="E88" i="4"/>
  <c r="E65" i="4"/>
  <c r="E76" i="4"/>
  <c r="E82" i="4" s="1"/>
  <c r="E94" i="4" s="1"/>
  <c r="E100" i="4" s="1"/>
  <c r="D66" i="4"/>
  <c r="D77" i="4"/>
  <c r="D83" i="4" s="1"/>
  <c r="D89" i="4"/>
  <c r="F88" i="4"/>
  <c r="F65" i="4"/>
  <c r="F76" i="4"/>
  <c r="F82" i="4" s="1"/>
  <c r="F94" i="4" s="1"/>
  <c r="F100" i="4" s="1"/>
  <c r="G76" i="2"/>
  <c r="G82" i="2" s="1"/>
  <c r="G94" i="2" s="1"/>
  <c r="G100" i="2" s="1"/>
  <c r="G88" i="2"/>
  <c r="G65" i="2"/>
  <c r="E93" i="3"/>
  <c r="E99" i="3" s="1"/>
  <c r="D93" i="3"/>
  <c r="D99" i="3" s="1"/>
  <c r="E29" i="7"/>
  <c r="E39" i="7"/>
  <c r="E50" i="7" s="1"/>
  <c r="I65" i="3"/>
  <c r="I76" i="3"/>
  <c r="I82" i="3" s="1"/>
  <c r="I88" i="3"/>
  <c r="F76" i="2"/>
  <c r="F82" i="2" s="1"/>
  <c r="F88" i="2"/>
  <c r="F65" i="2"/>
  <c r="D76" i="2"/>
  <c r="D82" i="2" s="1"/>
  <c r="D65" i="2"/>
  <c r="D88" i="2"/>
  <c r="E76" i="2"/>
  <c r="E82" i="2" s="1"/>
  <c r="E65" i="2"/>
  <c r="E88" i="2"/>
  <c r="J89" i="2"/>
  <c r="J66" i="2"/>
  <c r="J77" i="2"/>
  <c r="J83" i="2" s="1"/>
  <c r="J95" i="2" s="1"/>
  <c r="J101" i="2" s="1"/>
  <c r="J76" i="3"/>
  <c r="J82" i="3" s="1"/>
  <c r="J65" i="3"/>
  <c r="J88" i="3"/>
  <c r="H76" i="4"/>
  <c r="H82" i="4" s="1"/>
  <c r="H88" i="4"/>
  <c r="H65" i="4"/>
  <c r="G88" i="4"/>
  <c r="G65" i="4"/>
  <c r="G76" i="4"/>
  <c r="G82" i="4" s="1"/>
  <c r="E76" i="3"/>
  <c r="E82" i="3" s="1"/>
  <c r="E65" i="3"/>
  <c r="E88" i="3"/>
  <c r="C93" i="2"/>
  <c r="C99" i="2" s="1"/>
  <c r="C93" i="3"/>
  <c r="C99" i="3" s="1"/>
  <c r="D65" i="3"/>
  <c r="D76" i="3"/>
  <c r="D82" i="3" s="1"/>
  <c r="D88" i="3"/>
  <c r="C77" i="4"/>
  <c r="C83" i="4" s="1"/>
  <c r="C89" i="4"/>
  <c r="C66" i="4"/>
  <c r="D93" i="2"/>
  <c r="D99" i="2" s="1"/>
  <c r="C76" i="2"/>
  <c r="C82" i="2" s="1"/>
  <c r="C65" i="2"/>
  <c r="C88" i="2"/>
  <c r="G93" i="2"/>
  <c r="G99" i="2" s="1"/>
  <c r="I89" i="2"/>
  <c r="I66" i="2"/>
  <c r="I77" i="2"/>
  <c r="I83" i="2" s="1"/>
  <c r="I95" i="2" s="1"/>
  <c r="I101" i="2" s="1"/>
  <c r="C76" i="3"/>
  <c r="C82" i="3" s="1"/>
  <c r="C65" i="3"/>
  <c r="C88" i="3"/>
  <c r="G76" i="3"/>
  <c r="G82" i="3" s="1"/>
  <c r="G65" i="3"/>
  <c r="G88" i="3"/>
  <c r="D94" i="2" l="1"/>
  <c r="D100" i="2" s="1"/>
  <c r="C94" i="3"/>
  <c r="C100" i="3" s="1"/>
  <c r="I94" i="4"/>
  <c r="I100" i="4" s="1"/>
  <c r="B30" i="7"/>
  <c r="B40" i="7"/>
  <c r="B51" i="7" s="1"/>
  <c r="I94" i="3"/>
  <c r="I100" i="3" s="1"/>
  <c r="H95" i="2"/>
  <c r="H101" i="2" s="1"/>
  <c r="C66" i="2"/>
  <c r="C89" i="2"/>
  <c r="C77" i="2"/>
  <c r="C83" i="2" s="1"/>
  <c r="J89" i="4"/>
  <c r="J66" i="4"/>
  <c r="J77" i="4"/>
  <c r="J83" i="4" s="1"/>
  <c r="J95" i="4" s="1"/>
  <c r="J101" i="4" s="1"/>
  <c r="H94" i="4"/>
  <c r="H100" i="4" s="1"/>
  <c r="D31" i="7"/>
  <c r="D42" i="7" s="1"/>
  <c r="D41" i="7"/>
  <c r="D52" i="7" s="1"/>
  <c r="J94" i="3"/>
  <c r="J100" i="3" s="1"/>
  <c r="C94" i="2"/>
  <c r="C100" i="2" s="1"/>
  <c r="J78" i="2"/>
  <c r="J84" i="2" s="1"/>
  <c r="J67" i="2"/>
  <c r="J90" i="2"/>
  <c r="H78" i="2"/>
  <c r="H84" i="2" s="1"/>
  <c r="H67" i="2"/>
  <c r="H90" i="2"/>
  <c r="C66" i="3"/>
  <c r="C77" i="3"/>
  <c r="C83" i="3" s="1"/>
  <c r="C89" i="3"/>
  <c r="E66" i="2"/>
  <c r="E89" i="2"/>
  <c r="E77" i="2"/>
  <c r="E83" i="2" s="1"/>
  <c r="C95" i="4"/>
  <c r="C101" i="4" s="1"/>
  <c r="H66" i="4"/>
  <c r="H89" i="4"/>
  <c r="H77" i="4"/>
  <c r="H83" i="4" s="1"/>
  <c r="H95" i="4" s="1"/>
  <c r="H101" i="4" s="1"/>
  <c r="I78" i="2"/>
  <c r="I84" i="2" s="1"/>
  <c r="I96" i="2" s="1"/>
  <c r="I102" i="2" s="1"/>
  <c r="I90" i="2"/>
  <c r="I67" i="2"/>
  <c r="J66" i="3"/>
  <c r="J89" i="3"/>
  <c r="J77" i="3"/>
  <c r="J83" i="3" s="1"/>
  <c r="C78" i="4"/>
  <c r="C84" i="4" s="1"/>
  <c r="C67" i="4"/>
  <c r="C90" i="4"/>
  <c r="F66" i="3"/>
  <c r="F89" i="3"/>
  <c r="F77" i="3"/>
  <c r="F83" i="3" s="1"/>
  <c r="F95" i="3" s="1"/>
  <c r="F101" i="3" s="1"/>
  <c r="I89" i="3"/>
  <c r="I77" i="3"/>
  <c r="I83" i="3" s="1"/>
  <c r="I66" i="3"/>
  <c r="E30" i="7"/>
  <c r="E40" i="7"/>
  <c r="E51" i="7" s="1"/>
  <c r="I66" i="4"/>
  <c r="I89" i="4"/>
  <c r="I77" i="4"/>
  <c r="I83" i="4" s="1"/>
  <c r="G66" i="2"/>
  <c r="G89" i="2"/>
  <c r="G77" i="2"/>
  <c r="G83" i="2" s="1"/>
  <c r="G95" i="2" s="1"/>
  <c r="G101" i="2" s="1"/>
  <c r="C31" i="7"/>
  <c r="C42" i="7" s="1"/>
  <c r="C41" i="7"/>
  <c r="C52" i="7" s="1"/>
  <c r="E94" i="2"/>
  <c r="E100" i="2" s="1"/>
  <c r="D77" i="3"/>
  <c r="D83" i="3" s="1"/>
  <c r="D66" i="3"/>
  <c r="D89" i="3"/>
  <c r="D95" i="4"/>
  <c r="D101" i="4" s="1"/>
  <c r="F94" i="3"/>
  <c r="F100" i="3" s="1"/>
  <c r="F89" i="2"/>
  <c r="F66" i="2"/>
  <c r="F77" i="2"/>
  <c r="F83" i="2" s="1"/>
  <c r="F95" i="2" s="1"/>
  <c r="F101" i="2" s="1"/>
  <c r="E77" i="4"/>
  <c r="E83" i="4" s="1"/>
  <c r="E66" i="4"/>
  <c r="E89" i="4"/>
  <c r="D78" i="4"/>
  <c r="D84" i="4" s="1"/>
  <c r="D67" i="4"/>
  <c r="D90" i="4"/>
  <c r="E66" i="3"/>
  <c r="E89" i="3"/>
  <c r="E77" i="3"/>
  <c r="E83" i="3" s="1"/>
  <c r="E95" i="3" s="1"/>
  <c r="E101" i="3" s="1"/>
  <c r="G77" i="4"/>
  <c r="G83" i="4" s="1"/>
  <c r="G66" i="4"/>
  <c r="G89" i="4"/>
  <c r="J94" i="4"/>
  <c r="J100" i="4" s="1"/>
  <c r="F77" i="4"/>
  <c r="F83" i="4" s="1"/>
  <c r="F66" i="4"/>
  <c r="F89" i="4"/>
  <c r="D94" i="3"/>
  <c r="D100" i="3" s="1"/>
  <c r="D89" i="2"/>
  <c r="D66" i="2"/>
  <c r="D77" i="2"/>
  <c r="D83" i="2" s="1"/>
  <c r="F94" i="2"/>
  <c r="F100" i="2" s="1"/>
  <c r="H66" i="3"/>
  <c r="H89" i="3"/>
  <c r="H77" i="3"/>
  <c r="H83" i="3" s="1"/>
  <c r="G89" i="3"/>
  <c r="G77" i="3"/>
  <c r="G83" i="3" s="1"/>
  <c r="G95" i="3" s="1"/>
  <c r="G101" i="3" s="1"/>
  <c r="G66" i="3"/>
  <c r="G94" i="3"/>
  <c r="G100" i="3" s="1"/>
  <c r="E94" i="3"/>
  <c r="E100" i="3" s="1"/>
  <c r="G94" i="4"/>
  <c r="G100" i="4" s="1"/>
  <c r="H94" i="3"/>
  <c r="H100" i="3" s="1"/>
  <c r="F95" i="4" l="1"/>
  <c r="F101" i="4" s="1"/>
  <c r="C95" i="3"/>
  <c r="C101" i="3" s="1"/>
  <c r="B31" i="7"/>
  <c r="B42" i="7" s="1"/>
  <c r="B41" i="7"/>
  <c r="B52" i="7" s="1"/>
  <c r="G95" i="4"/>
  <c r="G101" i="4" s="1"/>
  <c r="D95" i="3"/>
  <c r="D101" i="3" s="1"/>
  <c r="D95" i="2"/>
  <c r="D101" i="2" s="1"/>
  <c r="I91" i="2"/>
  <c r="I79" i="2"/>
  <c r="I85" i="2" s="1"/>
  <c r="I97" i="2" s="1"/>
  <c r="I103" i="2" s="1"/>
  <c r="J67" i="4"/>
  <c r="J90" i="4"/>
  <c r="J78" i="4"/>
  <c r="J84" i="4" s="1"/>
  <c r="J96" i="4" s="1"/>
  <c r="J102" i="4" s="1"/>
  <c r="H67" i="4"/>
  <c r="H78" i="4"/>
  <c r="H84" i="4" s="1"/>
  <c r="H96" i="4" s="1"/>
  <c r="H102" i="4" s="1"/>
  <c r="H90" i="4"/>
  <c r="C95" i="2"/>
  <c r="C101" i="2" s="1"/>
  <c r="D96" i="4"/>
  <c r="D102" i="4" s="1"/>
  <c r="E67" i="4"/>
  <c r="E90" i="4"/>
  <c r="E78" i="4"/>
  <c r="E84" i="4" s="1"/>
  <c r="E96" i="4" s="1"/>
  <c r="E102" i="4" s="1"/>
  <c r="I95" i="3"/>
  <c r="I101" i="3" s="1"/>
  <c r="J90" i="3"/>
  <c r="J78" i="3"/>
  <c r="J84" i="3" s="1"/>
  <c r="J67" i="3"/>
  <c r="D55" i="7"/>
  <c r="D56" i="7" s="1"/>
  <c r="D53" i="7"/>
  <c r="D54" i="7" s="1"/>
  <c r="E90" i="3"/>
  <c r="E67" i="3"/>
  <c r="E78" i="3"/>
  <c r="E84" i="3" s="1"/>
  <c r="E96" i="3" s="1"/>
  <c r="E102" i="3" s="1"/>
  <c r="E31" i="7"/>
  <c r="E42" i="7" s="1"/>
  <c r="E41" i="7"/>
  <c r="E52" i="7" s="1"/>
  <c r="G78" i="2"/>
  <c r="G84" i="2" s="1"/>
  <c r="G67" i="2"/>
  <c r="G90" i="2"/>
  <c r="I95" i="4"/>
  <c r="I101" i="4" s="1"/>
  <c r="H95" i="3"/>
  <c r="H101" i="3" s="1"/>
  <c r="C90" i="3"/>
  <c r="C67" i="3"/>
  <c r="C78" i="3"/>
  <c r="C84" i="3" s="1"/>
  <c r="D91" i="4"/>
  <c r="D79" i="4"/>
  <c r="D85" i="4" s="1"/>
  <c r="I67" i="4"/>
  <c r="I90" i="4"/>
  <c r="I78" i="4"/>
  <c r="I84" i="4" s="1"/>
  <c r="G90" i="3"/>
  <c r="G78" i="3"/>
  <c r="G84" i="3" s="1"/>
  <c r="G67" i="3"/>
  <c r="I90" i="3"/>
  <c r="I78" i="3"/>
  <c r="I84" i="3" s="1"/>
  <c r="I96" i="3" s="1"/>
  <c r="I102" i="3" s="1"/>
  <c r="I67" i="3"/>
  <c r="F78" i="2"/>
  <c r="F84" i="2" s="1"/>
  <c r="F67" i="2"/>
  <c r="F90" i="2"/>
  <c r="H96" i="2"/>
  <c r="H102" i="2" s="1"/>
  <c r="E90" i="2"/>
  <c r="E67" i="2"/>
  <c r="E78" i="2"/>
  <c r="E84" i="2" s="1"/>
  <c r="E96" i="2" s="1"/>
  <c r="E102" i="2" s="1"/>
  <c r="I105" i="2"/>
  <c r="I109" i="2" s="1"/>
  <c r="E95" i="2"/>
  <c r="E101" i="2" s="1"/>
  <c r="C90" i="2"/>
  <c r="C78" i="2"/>
  <c r="C84" i="2" s="1"/>
  <c r="C67" i="2"/>
  <c r="H91" i="2"/>
  <c r="H79" i="2"/>
  <c r="H85" i="2" s="1"/>
  <c r="H97" i="2" s="1"/>
  <c r="H103" i="2" s="1"/>
  <c r="C96" i="4"/>
  <c r="C102" i="4" s="1"/>
  <c r="C55" i="7"/>
  <c r="C56" i="7" s="1"/>
  <c r="C53" i="7"/>
  <c r="C54" i="7" s="1"/>
  <c r="G90" i="4"/>
  <c r="G78" i="4"/>
  <c r="G84" i="4" s="1"/>
  <c r="G96" i="4" s="1"/>
  <c r="G102" i="4" s="1"/>
  <c r="G67" i="4"/>
  <c r="E95" i="4"/>
  <c r="E101" i="4" s="1"/>
  <c r="H90" i="3"/>
  <c r="H78" i="3"/>
  <c r="H84" i="3" s="1"/>
  <c r="H96" i="3" s="1"/>
  <c r="H102" i="3" s="1"/>
  <c r="H67" i="3"/>
  <c r="F90" i="3"/>
  <c r="F78" i="3"/>
  <c r="F84" i="3" s="1"/>
  <c r="F67" i="3"/>
  <c r="D67" i="2"/>
  <c r="D90" i="2"/>
  <c r="D78" i="2"/>
  <c r="D84" i="2" s="1"/>
  <c r="C91" i="4"/>
  <c r="C79" i="4"/>
  <c r="C85" i="4" s="1"/>
  <c r="J91" i="2"/>
  <c r="J79" i="2"/>
  <c r="J85" i="2" s="1"/>
  <c r="J97" i="2" s="1"/>
  <c r="J103" i="2" s="1"/>
  <c r="J105" i="2" s="1"/>
  <c r="J109" i="2" s="1"/>
  <c r="D90" i="3"/>
  <c r="D67" i="3"/>
  <c r="D78" i="3"/>
  <c r="D84" i="3" s="1"/>
  <c r="J95" i="3"/>
  <c r="J101" i="3" s="1"/>
  <c r="J96" i="2"/>
  <c r="J102" i="2" s="1"/>
  <c r="F90" i="4"/>
  <c r="F78" i="4"/>
  <c r="F84" i="4" s="1"/>
  <c r="F96" i="4" s="1"/>
  <c r="F102" i="4" s="1"/>
  <c r="F67" i="4"/>
  <c r="F96" i="2" l="1"/>
  <c r="F102" i="2" s="1"/>
  <c r="D57" i="7"/>
  <c r="D58" i="7" s="1"/>
  <c r="D59" i="7" s="1"/>
  <c r="D60" i="7" s="1"/>
  <c r="D97" i="4"/>
  <c r="B53" i="7"/>
  <c r="B54" i="7" s="1"/>
  <c r="B55" i="7"/>
  <c r="B56" i="7" s="1"/>
  <c r="G96" i="3"/>
  <c r="G102" i="3" s="1"/>
  <c r="C57" i="7"/>
  <c r="C58" i="7" s="1"/>
  <c r="C59" i="7" s="1"/>
  <c r="C60" i="7" s="1"/>
  <c r="J96" i="3"/>
  <c r="J102" i="3" s="1"/>
  <c r="C96" i="3"/>
  <c r="C102" i="3" s="1"/>
  <c r="I96" i="4"/>
  <c r="I102" i="4" s="1"/>
  <c r="E91" i="4"/>
  <c r="E79" i="4"/>
  <c r="E85" i="4" s="1"/>
  <c r="E97" i="4" s="1"/>
  <c r="I79" i="4"/>
  <c r="I85" i="4" s="1"/>
  <c r="I91" i="4"/>
  <c r="E79" i="2"/>
  <c r="E85" i="2" s="1"/>
  <c r="E91" i="2"/>
  <c r="C79" i="2"/>
  <c r="C85" i="2" s="1"/>
  <c r="C97" i="2" s="1"/>
  <c r="C91" i="2"/>
  <c r="C79" i="3"/>
  <c r="C85" i="3" s="1"/>
  <c r="C91" i="3"/>
  <c r="H79" i="4"/>
  <c r="H85" i="4" s="1"/>
  <c r="H91" i="4"/>
  <c r="F96" i="3"/>
  <c r="F102" i="3" s="1"/>
  <c r="G79" i="2"/>
  <c r="G85" i="2" s="1"/>
  <c r="G91" i="2"/>
  <c r="D79" i="2"/>
  <c r="D85" i="2" s="1"/>
  <c r="D91" i="2"/>
  <c r="F79" i="3"/>
  <c r="F85" i="3" s="1"/>
  <c r="F91" i="3"/>
  <c r="F79" i="4"/>
  <c r="F85" i="4" s="1"/>
  <c r="F91" i="4"/>
  <c r="F79" i="2"/>
  <c r="F85" i="2" s="1"/>
  <c r="F91" i="2"/>
  <c r="G96" i="2"/>
  <c r="G102" i="2" s="1"/>
  <c r="J91" i="4"/>
  <c r="J79" i="4"/>
  <c r="J85" i="4" s="1"/>
  <c r="C97" i="4"/>
  <c r="E55" i="7"/>
  <c r="E56" i="7" s="1"/>
  <c r="E53" i="7"/>
  <c r="E54" i="7" s="1"/>
  <c r="E57" i="7" s="1"/>
  <c r="E58" i="7" s="1"/>
  <c r="E59" i="7" s="1"/>
  <c r="E60" i="7" s="1"/>
  <c r="D106" i="4"/>
  <c r="D107" i="4" s="1"/>
  <c r="D103" i="4"/>
  <c r="D105" i="4" s="1"/>
  <c r="J79" i="3"/>
  <c r="J85" i="3" s="1"/>
  <c r="J91" i="3"/>
  <c r="G79" i="4"/>
  <c r="G85" i="4" s="1"/>
  <c r="G97" i="4" s="1"/>
  <c r="G103" i="4" s="1"/>
  <c r="G105" i="4" s="1"/>
  <c r="G109" i="4" s="1"/>
  <c r="G91" i="4"/>
  <c r="E79" i="3"/>
  <c r="E85" i="3" s="1"/>
  <c r="E91" i="3"/>
  <c r="I79" i="3"/>
  <c r="I85" i="3" s="1"/>
  <c r="I91" i="3"/>
  <c r="G79" i="3"/>
  <c r="G85" i="3" s="1"/>
  <c r="G91" i="3"/>
  <c r="C96" i="2"/>
  <c r="C102" i="2" s="1"/>
  <c r="H79" i="3"/>
  <c r="H85" i="3" s="1"/>
  <c r="H91" i="3"/>
  <c r="H105" i="2"/>
  <c r="H109" i="2" s="1"/>
  <c r="D96" i="2"/>
  <c r="D102" i="2" s="1"/>
  <c r="D96" i="3"/>
  <c r="D102" i="3" s="1"/>
  <c r="D79" i="3"/>
  <c r="D85" i="3" s="1"/>
  <c r="D91" i="3"/>
  <c r="C97" i="3" l="1"/>
  <c r="B57" i="7"/>
  <c r="B58" i="7" s="1"/>
  <c r="B59" i="7" s="1"/>
  <c r="B60" i="7" s="1"/>
  <c r="F97" i="3"/>
  <c r="F103" i="3" s="1"/>
  <c r="I97" i="3"/>
  <c r="I103" i="3" s="1"/>
  <c r="I105" i="3" s="1"/>
  <c r="I109" i="3" s="1"/>
  <c r="E97" i="3"/>
  <c r="H97" i="4"/>
  <c r="H103" i="4" s="1"/>
  <c r="H105" i="4" s="1"/>
  <c r="H109" i="4" s="1"/>
  <c r="J97" i="3"/>
  <c r="J103" i="3" s="1"/>
  <c r="J105" i="3" s="1"/>
  <c r="J109" i="3" s="1"/>
  <c r="C103" i="2"/>
  <c r="C105" i="2" s="1"/>
  <c r="C106" i="2"/>
  <c r="C107" i="2" s="1"/>
  <c r="F105" i="3"/>
  <c r="F109" i="3" s="1"/>
  <c r="C103" i="3"/>
  <c r="C105" i="3" s="1"/>
  <c r="C106" i="3"/>
  <c r="C107" i="3" s="1"/>
  <c r="D97" i="2"/>
  <c r="G97" i="2"/>
  <c r="G103" i="2" s="1"/>
  <c r="G105" i="2" s="1"/>
  <c r="G109" i="2" s="1"/>
  <c r="D109" i="4"/>
  <c r="D97" i="3"/>
  <c r="C106" i="4"/>
  <c r="C107" i="4" s="1"/>
  <c r="C103" i="4"/>
  <c r="C105" i="4" s="1"/>
  <c r="J97" i="4"/>
  <c r="J103" i="4" s="1"/>
  <c r="J105" i="4" s="1"/>
  <c r="J109" i="4" s="1"/>
  <c r="E106" i="4"/>
  <c r="E107" i="4" s="1"/>
  <c r="E103" i="4"/>
  <c r="E105" i="4" s="1"/>
  <c r="E109" i="4" s="1"/>
  <c r="F97" i="2"/>
  <c r="F103" i="2" s="1"/>
  <c r="F105" i="2" s="1"/>
  <c r="F109" i="2" s="1"/>
  <c r="F97" i="4"/>
  <c r="F103" i="4" s="1"/>
  <c r="F105" i="4" s="1"/>
  <c r="F109" i="4" s="1"/>
  <c r="E97" i="2"/>
  <c r="I97" i="4"/>
  <c r="I103" i="4" s="1"/>
  <c r="I105" i="4" s="1"/>
  <c r="I109" i="4" s="1"/>
  <c r="H97" i="3"/>
  <c r="H103" i="3" s="1"/>
  <c r="H105" i="3" s="1"/>
  <c r="H109" i="3" s="1"/>
  <c r="G97" i="3"/>
  <c r="G103" i="3" s="1"/>
  <c r="G105" i="3" s="1"/>
  <c r="G109" i="3" s="1"/>
  <c r="E103" i="2" l="1"/>
  <c r="E105" i="2" s="1"/>
  <c r="E106" i="2"/>
  <c r="E107" i="2" s="1"/>
  <c r="C109" i="4"/>
  <c r="D103" i="2"/>
  <c r="D105" i="2" s="1"/>
  <c r="D106" i="2"/>
  <c r="D107" i="2" s="1"/>
  <c r="C109" i="3"/>
  <c r="C109" i="2"/>
  <c r="E103" i="3"/>
  <c r="E105" i="3" s="1"/>
  <c r="E106" i="3"/>
  <c r="E107" i="3" s="1"/>
  <c r="D103" i="3"/>
  <c r="D105" i="3" s="1"/>
  <c r="D109" i="3" s="1"/>
  <c r="D106" i="3"/>
  <c r="D107" i="3" s="1"/>
  <c r="K110" i="4" l="1"/>
  <c r="K109" i="4"/>
  <c r="K119" i="4" s="1"/>
  <c r="K122" i="4" s="1"/>
  <c r="B19" i="6" s="1"/>
  <c r="E19" i="6" s="1"/>
  <c r="E109" i="3"/>
  <c r="K109" i="3" s="1"/>
  <c r="K119" i="3" s="1"/>
  <c r="K122" i="3" s="1"/>
  <c r="B17" i="6" s="1"/>
  <c r="D109" i="2"/>
  <c r="E109" i="2"/>
  <c r="K110" i="3" l="1"/>
  <c r="K110" i="2"/>
  <c r="K109" i="2"/>
  <c r="K119" i="2" s="1"/>
  <c r="K122" i="2" s="1"/>
  <c r="B18" i="6" s="1"/>
  <c r="E18" i="6" s="1"/>
  <c r="E17" i="6"/>
  <c r="B21" i="6" l="1"/>
  <c r="E21" i="6"/>
</calcChain>
</file>

<file path=xl/sharedStrings.xml><?xml version="1.0" encoding="utf-8"?>
<sst xmlns="http://schemas.openxmlformats.org/spreadsheetml/2006/main" count="617" uniqueCount="335">
  <si>
    <t>FinSurf — SOTP-DCF Inputs</t>
  </si>
  <si>
    <t>Phase 2 v3 — per-Segment WACC (Damodaran β), shared D/E + tax. Column C = Reasoning.</t>
  </si>
  <si>
    <t>── Company ──</t>
  </si>
  <si>
    <t>Company</t>
  </si>
  <si>
    <t>Allianz Konzern</t>
  </si>
  <si>
    <t>Ticker</t>
  </si>
  <si>
    <t>ALV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</si>
  <si>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</si>
  <si>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</si>
  <si>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</si>
  <si>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</si>
  <si>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</si>
  <si>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</si>
  <si>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</si>
  <si>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</si>
  <si>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</si>
  <si>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</si>
  <si>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</si>
  <si>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</si>
  <si>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</si>
  <si>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</si>
  <si>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</si>
  <si>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</si>
  <si>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</si>
  <si>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</si>
  <si>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</si>
  <si>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</si>
  <si>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</si>
  <si>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</si>
  <si>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</si>
  <si>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</si>
  <si>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Europa 55% (0 bps überwiegend Westeuropa, ~30 bps EMEA-EM-Anteil gewichtet), USA 18% (0 bps), APAC 12% (~50 bps), LatAm 7% (~200 bps), MEA 5% (~150 bps) → gewichtetes CRP ≈ 40 bps. Türkei-Exposure über L&amp;K-Segment erhöht leicht.</t>
  </si>
  <si>
    <t>Specific Risk Premium</t>
  </si>
  <si>
    <t>Keine strukturellen Governance-Defizite; breite Streuung, AA-Rating, hohe Solvency-II-Quote.</t>
  </si>
  <si>
    <t>Cost of Equity Group [calc, ≥ Kd + Nachrang-Spread]</t>
  </si>
  <si>
    <t>Cost of Debt pre-tax (Kd)</t>
  </si>
  <si>
    <t>AA/Aa2-Rating; verbriefte und nachrangige Verbindlichkeiten 21.569 Mio € (Hybridanleihen, Restricted-Tier-1, Senioranleihen). Impliziter Durchschnittskupon auf ~48.592 Mio Gesamtschulden bei AA-Rating ~3,5-4,0 %. Konservativ 3,8 % angesetzt. Reported Zinsaufwand nicht explizit aus Textzitat ableitbar → geschätzt auf Basis Rating-Spread (~140 bps über Bund).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</si>
  <si>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</si>
  <si>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</si>
  <si>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</si>
  <si>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</si>
  <si>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</si>
  <si>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</si>
  <si>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</si>
  <si>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</si>
  <si>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</si>
  <si>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</si>
  <si>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</si>
  <si>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</si>
  <si>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</si>
  <si>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</si>
  <si>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</si>
  <si>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9,109 Mio EUR (ALV) → Mid Cap (2,5-10 Mrd): +0.80 pp auf Ke</t>
  </si>
  <si>
    <t>SOTP DCF [Base] — Segment-Level Forecast + Group-Aggregation</t>
  </si>
  <si>
    <t>Yellow = Inputs. Orange = Reasoning (Writer befüllt nach Review-Call). Blue = computed. Green = output.</t>
  </si>
  <si>
    <t>Schaden- und Unfallversicherung</t>
  </si>
  <si>
    <t>Lebens- und Krankenversicherung</t>
  </si>
  <si>
    <t>Asset Management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</si>
  <si>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</si>
  <si>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</si>
  <si>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</si>
  <si>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</si>
  <si>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</si>
  <si>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</si>
  <si>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</si>
  <si>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</si>
  <si>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</si>
  <si>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</si>
  <si>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</si>
  <si>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</si>
  <si>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</si>
  <si>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</si>
  <si>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</si>
  <si>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</si>
  <si>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</si>
  <si>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</si>
  <si>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</si>
  <si>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</si>
  <si>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</si>
  <si>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CMD Dezember 2024 zielte auf moderates, diszipliniertes Wachstum für 2025-2027. Internes Volumenwachstum 2025: +8,1 % (Gesamt-Geschäftsvolumen gruppe), P&amp;C +4,7 % nominal. Preis- und Volumeneffekte positiv. Management-Outlook: weiteres Wachstum bei stabiler Profitabilität. Demonstrierte 1J-CAGR ~4,7 %; langfristig 5 % als plausible Forward-Rate, in Line mit Versicherungsmarkt-Wachstum (Inflation + Volumen). TG 2,5 % = gewichtetes nominales BIP-Wachstum (Europa ~40 % × 2,0 % + USA ~15 % × 3,5...</t>
  </si>
  <si>
    <t>PVNBP +3,5 % in 2025; internes Wachstum in deutschsprachigen Ländern, Türkei, Italien. Altersvorsorge-Trend strukturell positiv. Op. Ergebnis +1,7 % gedämpft durch Rückgang des op. Kapitalanlageergebnisses. Forward 4 % als konservative Schätzung (Guidance moderate, mit Zinsnormalisierungsgegenwind). HINWEIS: Revenue-Proxy = geschätzte Gesamtprämien; genaue L&amp;H-Prämienzeile nicht aus Textzitat ableitbar → flagged. Gewichtetes BIP ~2,5 % analog P&amp;C; TG 2,5 % &lt; CAGR 4 % ✓.</t>
  </si>
  <si>
    <t>2026-Guidance für operatives Ergebnis: 3.500 Mio € (2025: 3.345 Mio) → impliziert ~+4,6 %. Aufwand-Ertrag-Verhältnis unter 61 % für 2026 (2025: 60,7 %). Nettomittelzuflüsse 2025: 139,3 Mrd € (2024: 84,8 Mrd) – außerordentlich stark, Normalisierung auf moderate Zuflüsse erwartet. Mittelfristig weiteres Wachstum. CAGR-Guidance impliziert ~5 % Revenue-Wachstum (AUM-Wachstum + Performance Fees normalisiert). Dreijährige rollierende Anlageperformance 93 % über Benchmark (2024: 79 %) stützt Zuflüss...</t>
  </si>
  <si>
    <t>Margin-Reasoning (Review-Call-Audit)</t>
  </si>
  <si>
    <t>Y1 10,4 % = op. Ergebnis 2025 (9.000 Mio €) / Geschäftsvolumen P&amp;C (86.700 Mio €). HINWEIS: Margen-Proxy auf Geschäftsvolumen, kein klassischer EBIT-Ausweis → flagged. 2024 Basis: op. Ergebnis ~7.900 Mio / ~82.800 Mio ≈ 9,0 %. 2025 Verbesserung durch unterdurchschnittliche NatCat-Schäden und Managementmaßnahmen. Y5 10,5 %: Guidance für stabile Profitabilität; leichte Expansion durch operative Hebel möglich, gegenläufig: NatCat-Trend steigend durch Klimawandel. Kein Net-Capex-Zyklus im Versich...</t>
  </si>
  <si>
    <t>Y1 6,7 % = op. Ergebnis 2025 (5.600 Mio €) / geschätzte Gesamtprämien L&amp;H (~84.000 Mio €; HINWEIS: Schätzung, PVNBP 84,7 Mrd ist nicht = Revenue). 2024-Basis: 5.500 Mio / ~80.800 Mio ≈ 6,5 %. Leichte Margenverbesserung durch höhere CSM-Auflösung. Y5 6,8 % marginale Expansion bei stabiler Neugeschäftsmarge (5,7 %) und verbesserter Mix-Shift. Gegenläufig: Zinsnormalisierungsrisiko bei Kapitalanlageergebnis, NatCat-Langlebigkeitsrisiko. Net-Capex negligible (Versicherung, asset-light). Margen-Ch...</t>
  </si>
  <si>
    <t>Y1 39,3 % = operatives Ergebnis (3.345 Mio €) / operative Erträge (8.507 Mio €). Dies ist die voll-belastete IFRS-Marge des Segments (inkl. SBC, da Personalaufwendungen 3.196 Mio + Sachaufwendungen 1.995 Mio unter Abschluss- und Verwaltungsaufwendungen ausgewiesen). 2024: 3.239/8.324 = 38,9 %. Y5 39,4 % leicht höher: Guidance impliziert leichte Ertrags-Expansion bei stabilen AEV &lt; 61 %. Kein Capex-Zyklus. HINWEIS: Das 'operative Ergebnis' des Allianz-Segments entspricht einer Non-GAAP-Kennzah...</t>
  </si>
  <si>
    <t>Multiple-Gate (implied vs Sektor-Ceiling)</t>
  </si>
  <si>
    <t>ok: EV/EBITDA 16.8x &lt;= 1.8x x Median 12.2x (financials_insurance)</t>
  </si>
  <si>
    <t>WARN: EV/EBITDA 15.5x &gt; 1.1x Sektor-Median 12.2x (financials_insurance) — NICHT gekappt (Gate non-mutating; Input-Korrektur via Review-Call Trigger E)</t>
  </si>
  <si>
    <t>WARN: EV/EBITDA 15.4x &lt; 0.4x Median 57.0x — Distress oder Input pruefen (kein Clamp)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</si>
  <si>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</si>
  <si>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</si>
  <si>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</si>
  <si>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</si>
  <si>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</si>
  <si>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</si>
  <si>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</si>
  <si>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</si>
  <si>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</si>
  <si>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</si>
  <si>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</si>
  <si>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</si>
  <si>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</si>
  <si>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</si>
  <si>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</si>
  <si>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</si>
  <si>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</si>
  <si>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</si>
  <si>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</si>
  <si>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</si>
  <si>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</si>
  <si>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</si>
  <si>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</si>
  <si>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</si>
  <si>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</si>
  <si>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</si>
  <si>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</si>
  <si>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</si>
  <si>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</si>
  <si>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</si>
  <si>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</si>
  <si>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</si>
  <si>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</si>
  <si>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</si>
  <si>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</si>
  <si>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</si>
  <si>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</si>
  <si>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</si>
  <si>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</si>
  <si>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</si>
  <si>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</si>
  <si>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</si>
  <si>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</si>
  <si>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</si>
  <si>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</si>
  <si>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</si>
  <si>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</si>
  <si>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</si>
  <si>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</si>
  <si>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</si>
  <si>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</si>
  <si>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</si>
  <si>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</si>
  <si>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</si>
  <si>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</si>
  <si>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</si>
  <si>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</si>
  <si>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</si>
  <si>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</si>
  <si>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</si>
  <si>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</si>
  <si>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</si>
  <si>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</si>
  <si>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</si>
  <si>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</si>
  <si>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</si>
  <si>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</si>
  <si>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</si>
  <si>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</si>
  <si>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</si>
  <si>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</si>
  <si>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</si>
  <si>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</si>
  <si>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</si>
  <si>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</si>
  <si>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</si>
  <si>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</si>
  <si>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</si>
  <si>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</si>
  <si>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</si>
  <si>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</si>
  <si>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</si>
  <si>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</si>
  <si>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</si>
  <si>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</si>
  <si>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</si>
  <si>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</si>
  <si>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</si>
  <si>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</si>
  <si>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</si>
  <si>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</si>
  <si>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</si>
  <si>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</si>
  <si>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</si>
  <si>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</si>
  <si>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</si>
  <si>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</si>
  <si>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</si>
  <si>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</si>
  <si>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NatCat Tail-Event (1-in-50-Year Ereignis)</t>
  </si>
  <si>
    <t>Großes Einzel-NatCat (Erdbeben Tokio/Istanbul oder kombinierte Hurrikansaison) könnte op. Ergebnis einmalig um 5-8 Mrd € belasten. Rückversicherung begrenzt Netto-Exposure. EV-Effekt netto ca. -30 Mrd € × 5 % = -1.500 Mio.</t>
  </si>
  <si>
    <t>Viridium-Beteiligung / Indien JV-Restrukturierung</t>
  </si>
  <si>
    <t>M&amp;A-Aktivitäten (Viridium, Indien-JV Neuausrichtung) könnten zu Einmalaufwendungen oder Goodwill-Abschreibungen führen. Exposure geschätzt ~1 Mrd € × 30 % = -300 Mio.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</si>
  <si>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</si>
  <si>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</si>
  <si>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</si>
  <si>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</si>
  <si>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</si>
  <si>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</si>
  <si>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</si>
  <si>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</si>
  <si>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</si>
  <si>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</si>
  <si>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</si>
  <si>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</si>
  <si>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</si>
  <si>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</si>
  <si>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</si>
  <si>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</si>
  <si>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</si>
  <si>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</si>
  <si>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</si>
  <si>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</si>
  <si>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</si>
  <si>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</si>
  <si>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</si>
  <si>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</si>
  <si>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</si>
  <si>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</si>
  <si>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</si>
  <si>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</si>
  <si>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</si>
  <si>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</si>
  <si>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</si>
  <si>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</si>
  <si>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</si>
  <si>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very_positive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</si>
  <si>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</si>
  <si>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</si>
  <si>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</si>
  <si>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</si>
  <si>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</si>
  <si>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</si>
  <si>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JA — Analyse aktiv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</si>
  <si>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</si>
  <si>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</si>
  <si>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</si>
  <si>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</si>
  <si>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</si>
  <si>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</si>
  <si>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</si>
  <si>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</si>
  <si>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</si>
  <si>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</si>
  <si>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</si>
  <si>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</si>
  <si>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</si>
  <si>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</si>
  <si>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</si>
  <si>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</si>
  <si>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</si>
  <si>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</si>
  <si>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</si>
  <si>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</si>
  <si>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</si>
  <si>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</si>
  <si>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</si>
  <si>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</si>
  <si>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</si>
  <si>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</si>
  <si>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</si>
  <si>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</si>
  <si>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</si>
  <si>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</si>
  <si>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</si>
  <si>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</si>
  <si>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</si>
  <si>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</si>
  <si>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</si>
  <si>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</si>
  <si>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</si>
  <si>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</si>
  <si>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</si>
  <si>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</si>
  <si>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</si>
  <si>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</si>
  <si>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</si>
  <si>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</si>
  <si>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</si>
  <si>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</si>
  <si>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</si>
  <si>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</si>
  <si>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</si>
  <si>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</si>
  <si>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</si>
  <si>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</si>
  <si>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</si>
  <si>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</si>
  <si>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</si>
  <si>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</si>
  <si>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</si>
  <si>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</si>
  <si>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</si>
  <si>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</si>
  <si>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</si>
  <si>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</si>
  <si>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7.1x EV/EBITDA (trailing). Unser Kursziel entspricht rund 11.9x auf dem heutigen EBITDA (gleiche Basis, direkt mit der eigenen Historie vergleichbar). Der Markt diskontiert rund 68% gegenüber unseren Annahmen (er ist pessimistischer als unser Modell). Auf unserer Ergebnisschätzung für das kommende Jahr (t+1) entspricht das Kursziel rund 12.3x, der Markt 7.3x (anderer Nenner, nicht mit der Historie vergleichbar). Die Peer-Gruppe handelt bei 4.8–6.6x (Median 6.5x,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</si>
  <si>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</si>
  <si>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</si>
  <si>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</si>
  <si>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</si>
  <si>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</si>
  <si>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</si>
  <si>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</si>
  <si>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</si>
  <si>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CS.PA</t>
  </si>
  <si>
    <t>1MUV2.MI</t>
  </si>
  <si>
    <t>ZURN.SW</t>
  </si>
  <si>
    <t>BGNM.XC</t>
  </si>
  <si>
    <t>AV.L</t>
  </si>
  <si>
    <t>SREN.SW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</si>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</sst>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388.4</v>
      </c>
    </row>
    <row r="12" spans="1:2" x14ac:dyDescent="0.4">
      <c r="A12" s="4" t="s">
        <v>13</v>
      </c>
      <c r="B12" s="5">
        <v>5000</v>
      </c>
    </row>
    <row r="13" spans="1:2" x14ac:dyDescent="0.4">
      <c r="A13" s="4" t="s">
        <v>14</v>
      </c>
      <c r="B13" s="5">
        <v>48592</v>
      </c>
    </row>
    <row r="14" spans="1:2" x14ac:dyDescent="0.4">
      <c r="A14" s="4" t="s">
        <v>15</v>
      </c>
      <c r="B14" s="6">
        <f>B13-B12</f>
        <v>43592</v>
      </c>
    </row>
    <row r="15" spans="1:2" x14ac:dyDescent="0.4">
      <c r="A15" s="4" t="s">
        <v>16</v>
      </c>
      <c r="B15" s="5">
        <v>700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5.705000000000001E-2</v>
      </c>
      <c r="C19" s="8" t="s">
        <v>22</v>
      </c>
    </row>
    <row r="20" spans="1:3" x14ac:dyDescent="0.4">
      <c r="A20" s="4" t="s">
        <v>23</v>
      </c>
      <c r="B20" s="9">
        <v>0.45800000000000002</v>
      </c>
      <c r="C20" s="8" t="s">
        <v>24</v>
      </c>
    </row>
    <row r="21" spans="1:3" x14ac:dyDescent="0.4">
      <c r="A21" s="4" t="s">
        <v>25</v>
      </c>
      <c r="B21" s="9">
        <v>3</v>
      </c>
      <c r="C21" s="8" t="s">
        <v>26</v>
      </c>
    </row>
    <row r="22" spans="1:3" x14ac:dyDescent="0.4">
      <c r="A22" s="4" t="s">
        <v>27</v>
      </c>
      <c r="B22" s="7">
        <v>0.26100000000000001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1.3171686199999999</v>
      </c>
    </row>
    <row r="24" spans="1:3" x14ac:dyDescent="0.4">
      <c r="A24" s="4" t="s">
        <v>30</v>
      </c>
      <c r="B24" s="7">
        <v>4.0000000000000001E-3</v>
      </c>
      <c r="C24" s="8" t="s">
        <v>31</v>
      </c>
    </row>
    <row r="25" spans="1:3" x14ac:dyDescent="0.4">
      <c r="A25" s="4" t="s">
        <v>32</v>
      </c>
      <c r="B25" s="7">
        <v>0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0.11214446977100001</v>
      </c>
    </row>
    <row r="27" spans="1:3" x14ac:dyDescent="0.4">
      <c r="A27" s="4" t="s">
        <v>35</v>
      </c>
      <c r="B27" s="7">
        <v>3.7999999999999999E-2</v>
      </c>
      <c r="C27" s="8" t="s">
        <v>36</v>
      </c>
    </row>
    <row r="28" spans="1:3" x14ac:dyDescent="0.4">
      <c r="A28" s="4" t="s">
        <v>37</v>
      </c>
      <c r="B28" s="11">
        <f>B27*(1-B22)</f>
        <v>2.8081999999999999E-2</v>
      </c>
    </row>
    <row r="29" spans="1:3" x14ac:dyDescent="0.4">
      <c r="A29" s="4" t="s">
        <v>38</v>
      </c>
      <c r="B29" s="11">
        <f>1/(1+B21)</f>
        <v>0.25</v>
      </c>
    </row>
    <row r="30" spans="1:3" x14ac:dyDescent="0.4">
      <c r="A30" s="4" t="s">
        <v>39</v>
      </c>
      <c r="B30" s="11">
        <f>B21/(1+B21)</f>
        <v>0.75</v>
      </c>
    </row>
    <row r="31" spans="1:3" x14ac:dyDescent="0.4">
      <c r="A31" s="4" t="s">
        <v>40</v>
      </c>
      <c r="B31" s="12">
        <f>MAX(B26*B29+B28*B30,B35)</f>
        <v>4.909761744275E-2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0.02</v>
      </c>
    </row>
    <row r="34" spans="1:3" x14ac:dyDescent="0.4">
      <c r="A34" s="4" t="s">
        <v>43</v>
      </c>
      <c r="B34" s="7">
        <v>0.01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0.75</v>
      </c>
      <c r="C36" s="8" t="s">
        <v>47</v>
      </c>
    </row>
    <row r="37" spans="1:3" x14ac:dyDescent="0.4">
      <c r="A37" s="4" t="s">
        <v>48</v>
      </c>
      <c r="B37" s="11">
        <f>B18+0.008+0.02*B36</f>
        <v>4.8000000000000001E-2</v>
      </c>
      <c r="C37" s="8" t="s">
        <v>49</v>
      </c>
    </row>
    <row r="38" spans="1:3" x14ac:dyDescent="0.4">
      <c r="A38" s="4" t="s">
        <v>50</v>
      </c>
      <c r="B38" s="11">
        <f>B37*(1-B22)</f>
        <v>3.5472000000000004E-2</v>
      </c>
    </row>
    <row r="39" spans="1:3" x14ac:dyDescent="0.4">
      <c r="A39" s="4" t="s">
        <v>51</v>
      </c>
      <c r="B39" s="7">
        <v>8.0000000000000002E-3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86700</v>
      </c>
      <c r="D5" s="5">
        <v>84000</v>
      </c>
      <c r="E5" s="5">
        <v>8507</v>
      </c>
      <c r="F5" s="5"/>
      <c r="G5" s="5"/>
      <c r="H5" s="5"/>
      <c r="I5" s="5"/>
      <c r="J5" s="5"/>
    </row>
    <row r="6" spans="1:11" x14ac:dyDescent="0.4">
      <c r="A6" s="4" t="s">
        <v>66</v>
      </c>
      <c r="C6" s="7">
        <v>0.05</v>
      </c>
      <c r="D6" s="7">
        <v>0.04</v>
      </c>
      <c r="E6" s="7">
        <v>0.05</v>
      </c>
      <c r="F6" s="7"/>
      <c r="G6" s="7"/>
      <c r="H6" s="7"/>
      <c r="I6" s="7"/>
      <c r="J6" s="7"/>
    </row>
    <row r="7" spans="1:11" x14ac:dyDescent="0.4">
      <c r="A7" s="4" t="s">
        <v>67</v>
      </c>
      <c r="C7" s="7">
        <v>0.104</v>
      </c>
      <c r="D7" s="7">
        <v>6.7000000000000004E-2</v>
      </c>
      <c r="E7" s="7">
        <v>0.39300000000000002</v>
      </c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0.104</v>
      </c>
      <c r="D8" s="15">
        <v>6.7000000000000004E-2</v>
      </c>
      <c r="E8" s="15">
        <v>0.39300000000000002</v>
      </c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0.105</v>
      </c>
      <c r="D9" s="7">
        <v>6.8000000000000005E-2</v>
      </c>
      <c r="E9" s="7">
        <v>0.3</v>
      </c>
      <c r="F9" s="7"/>
      <c r="G9" s="7"/>
      <c r="H9" s="7"/>
      <c r="I9" s="7"/>
      <c r="J9" s="7"/>
    </row>
    <row r="10" spans="1:11" x14ac:dyDescent="0.4">
      <c r="A10" s="4" t="s">
        <v>70</v>
      </c>
      <c r="C10" s="7">
        <v>5.0000000000000001E-3</v>
      </c>
      <c r="D10" s="7">
        <v>5.0000000000000001E-3</v>
      </c>
      <c r="E10" s="7">
        <v>0.01</v>
      </c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3.0000000000000001E-3</v>
      </c>
      <c r="D11" s="7">
        <v>3.0000000000000001E-3</v>
      </c>
      <c r="E11" s="7">
        <v>0.01</v>
      </c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2E-3</v>
      </c>
      <c r="D12" s="7">
        <v>2E-3</v>
      </c>
      <c r="E12" s="7">
        <v>5.0000000000000001E-3</v>
      </c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0.02</v>
      </c>
      <c r="D13" s="7">
        <v>0.02</v>
      </c>
      <c r="E13" s="7">
        <v>0.03</v>
      </c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0.45800000000000002</v>
      </c>
      <c r="D14" s="9">
        <v>0.45800000000000002</v>
      </c>
      <c r="E14" s="9">
        <v>0.48662499999999997</v>
      </c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4.909761744275E-2</v>
      </c>
      <c r="D16" s="11">
        <f>MAX((MAX(Inputs!B18+((1-0.33)*D14*(1+(1-Inputs!B22)*Inputs!B21)+0.33)*Inputs!B19+IF(ISBLANK(D17),Inputs!B24,D17)+Inputs!B25+Inputs!B39,MIN(Inputs!B27,0.08)+0.025))*Inputs!B29+Inputs!B28*Inputs!B30,D15)</f>
        <v>4.909761744275E-2</v>
      </c>
      <c r="E16" s="11">
        <f>MAX((MAX(Inputs!B18+((1-0.33)*E14*(1+(1-Inputs!B22)*Inputs!B21)+0.33)*Inputs!B19+IF(ISBLANK(E17),Inputs!B24,E17)+Inputs!B25+Inputs!B39,MIN(Inputs!B27,0.08)+0.025))*Inputs!B29+Inputs!B28*Inputs!B30,E15)</f>
        <v>4.997758572042188E-2</v>
      </c>
      <c r="F16" s="11">
        <f>MAX((MAX(Inputs!B18+((1-0.33)*F14*(1+(1-Inputs!B22)*Inputs!B21)+0.33)*Inputs!B19+IF(ISBLANK(F17),Inputs!B24,F17)+Inputs!B25+Inputs!B39,MIN(Inputs!B27,0.08)+0.025))*Inputs!B29+Inputs!B28*Inputs!B30,F15)</f>
        <v>3.6811499999999997E-2</v>
      </c>
      <c r="G16" s="11">
        <f>MAX((MAX(Inputs!B18+((1-0.33)*G14*(1+(1-Inputs!B22)*Inputs!B21)+0.33)*Inputs!B19+IF(ISBLANK(G17),Inputs!B24,G17)+Inputs!B25+Inputs!B39,MIN(Inputs!B27,0.08)+0.025))*Inputs!B29+Inputs!B28*Inputs!B30,G15)</f>
        <v>3.6811499999999997E-2</v>
      </c>
      <c r="H16" s="11">
        <f>MAX((MAX(Inputs!B18+((1-0.33)*H14*(1+(1-Inputs!B22)*Inputs!B21)+0.33)*Inputs!B19+IF(ISBLANK(H17),Inputs!B24,H17)+Inputs!B25+Inputs!B39,MIN(Inputs!B27,0.08)+0.025))*Inputs!B29+Inputs!B28*Inputs!B30,H15)</f>
        <v>3.6811499999999997E-2</v>
      </c>
      <c r="I16" s="11">
        <f>MAX((MAX(Inputs!B18+((1-0.33)*I14*(1+(1-Inputs!B22)*Inputs!B21)+0.33)*Inputs!B19+IF(ISBLANK(I17),Inputs!B24,I17)+Inputs!B25+Inputs!B39,MIN(Inputs!B27,0.08)+0.025))*Inputs!B29+Inputs!B28*Inputs!B30,I15)</f>
        <v>3.6811499999999997E-2</v>
      </c>
      <c r="J16" s="11">
        <f>MAX((MAX(Inputs!B18+((1-0.33)*J14*(1+(1-Inputs!B22)*Inputs!B21)+0.33)*Inputs!B19+IF(ISBLANK(J17),Inputs!B24,J17)+Inputs!B25+Inputs!B39,MIN(Inputs!B27,0.08)+0.025))*Inputs!B29+Inputs!B28*Inputs!B30,J15)</f>
        <v>3.6811499999999997E-2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/>
      <c r="G18" s="18"/>
      <c r="H18" s="18"/>
      <c r="I18" s="18"/>
      <c r="J18" s="18"/>
    </row>
    <row r="19" spans="1:10" ht="40" customHeight="1" x14ac:dyDescent="0.4">
      <c r="A19" s="17" t="s">
        <v>82</v>
      </c>
      <c r="C19" s="18" t="s">
        <v>83</v>
      </c>
      <c r="D19" s="18" t="s">
        <v>84</v>
      </c>
      <c r="E19" s="18" t="s">
        <v>85</v>
      </c>
      <c r="F19" s="18"/>
      <c r="G19" s="18"/>
      <c r="H19" s="18"/>
      <c r="I19" s="18"/>
      <c r="J19" s="18"/>
    </row>
    <row r="20" spans="1:10" ht="28" customHeight="1" x14ac:dyDescent="0.4">
      <c r="A20" s="17" t="s">
        <v>86</v>
      </c>
      <c r="C20" s="18" t="s">
        <v>87</v>
      </c>
      <c r="D20" s="18" t="s">
        <v>88</v>
      </c>
      <c r="E20" s="18" t="s">
        <v>89</v>
      </c>
      <c r="F20" s="18"/>
      <c r="G20" s="18"/>
      <c r="H20" s="18"/>
      <c r="I20" s="18"/>
      <c r="J20" s="18"/>
    </row>
    <row r="21" spans="1:10" x14ac:dyDescent="0.4">
      <c r="A21" s="4" t="s">
        <v>90</v>
      </c>
      <c r="C21" s="6">
        <f t="shared" ref="C21:J21" si="0">C5*(1+C6)^1</f>
        <v>91035</v>
      </c>
      <c r="D21" s="6">
        <f t="shared" si="0"/>
        <v>87360</v>
      </c>
      <c r="E21" s="6">
        <f t="shared" si="0"/>
        <v>8932.35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91</v>
      </c>
      <c r="C22" s="6">
        <f t="shared" ref="C22:J22" si="1">C5*(1+C6)^2</f>
        <v>95586.75</v>
      </c>
      <c r="D22" s="6">
        <f t="shared" si="1"/>
        <v>90854.400000000009</v>
      </c>
      <c r="E22" s="6">
        <f t="shared" si="1"/>
        <v>9378.9675000000007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92</v>
      </c>
      <c r="C23" s="6">
        <f t="shared" ref="C23:J23" si="2">C5*(1+C6)^3</f>
        <v>100366.08750000001</v>
      </c>
      <c r="D23" s="6">
        <f t="shared" si="2"/>
        <v>94488.576000000001</v>
      </c>
      <c r="E23" s="6">
        <f t="shared" si="2"/>
        <v>9847.9158750000006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93</v>
      </c>
      <c r="C24" s="6">
        <f t="shared" ref="C24:J24" si="3">C5*(1+C6)^4</f>
        <v>105384.391875</v>
      </c>
      <c r="D24" s="6">
        <f t="shared" si="3"/>
        <v>98268.11904000002</v>
      </c>
      <c r="E24" s="6">
        <f t="shared" si="3"/>
        <v>10340.311668750001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94</v>
      </c>
      <c r="C25" s="6">
        <f t="shared" ref="C25:J25" si="4">C5*(1+C6)^5</f>
        <v>110653.61146875001</v>
      </c>
      <c r="D25" s="6">
        <f t="shared" si="4"/>
        <v>102198.84380160003</v>
      </c>
      <c r="E25" s="6">
        <f t="shared" si="4"/>
        <v>10857.327252187501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95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96</v>
      </c>
      <c r="C27" s="11">
        <f t="shared" ref="C27:J27" si="5">IF(ISBLANK(C9),C7,C7+(C9-C7)*(0)/4)</f>
        <v>0.104</v>
      </c>
      <c r="D27" s="11">
        <f t="shared" si="5"/>
        <v>6.7000000000000004E-2</v>
      </c>
      <c r="E27" s="11">
        <f t="shared" si="5"/>
        <v>0.39300000000000002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97</v>
      </c>
      <c r="C28" s="11">
        <f t="shared" ref="C28:J28" si="6">IF(ISBLANK(C9),C7,C7+(C9-C7)*(1)/4)</f>
        <v>0.10425</v>
      </c>
      <c r="D28" s="11">
        <f t="shared" si="6"/>
        <v>6.7250000000000004E-2</v>
      </c>
      <c r="E28" s="11">
        <f t="shared" si="6"/>
        <v>0.36975000000000002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98</v>
      </c>
      <c r="C29" s="11">
        <f t="shared" ref="C29:J29" si="7">IF(ISBLANK(C9),C7,C7+(C9-C7)*(2)/4)</f>
        <v>0.1045</v>
      </c>
      <c r="D29" s="11">
        <f t="shared" si="7"/>
        <v>6.7500000000000004E-2</v>
      </c>
      <c r="E29" s="11">
        <f t="shared" si="7"/>
        <v>0.34650000000000003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99</v>
      </c>
      <c r="C30" s="11">
        <f t="shared" ref="C30:J30" si="8">IF(ISBLANK(C9),C7,C7+(C9-C7)*(3)/4)</f>
        <v>0.10475</v>
      </c>
      <c r="D30" s="11">
        <f t="shared" si="8"/>
        <v>6.7750000000000005E-2</v>
      </c>
      <c r="E30" s="11">
        <f t="shared" si="8"/>
        <v>0.32324999999999998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100</v>
      </c>
      <c r="C31" s="11">
        <f t="shared" ref="C31:J31" si="9">IF(ISBLANK(C9),C7,C7+(C9-C7)*(4)/4)</f>
        <v>0.105</v>
      </c>
      <c r="D31" s="11">
        <f t="shared" si="9"/>
        <v>6.8000000000000005E-2</v>
      </c>
      <c r="E31" s="11">
        <f t="shared" si="9"/>
        <v>0.3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101</v>
      </c>
      <c r="C33" s="6">
        <f t="shared" ref="C33:J37" si="10">C21*C27</f>
        <v>9467.64</v>
      </c>
      <c r="D33" s="6">
        <f t="shared" si="10"/>
        <v>5853.1200000000008</v>
      </c>
      <c r="E33" s="6">
        <f t="shared" si="10"/>
        <v>3510.4135500000002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102</v>
      </c>
      <c r="C34" s="6">
        <f t="shared" si="10"/>
        <v>9964.9186874999996</v>
      </c>
      <c r="D34" s="6">
        <f t="shared" si="10"/>
        <v>6109.9584000000013</v>
      </c>
      <c r="E34" s="6">
        <f t="shared" si="10"/>
        <v>3467.8732331250003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103</v>
      </c>
      <c r="C35" s="6">
        <f t="shared" si="10"/>
        <v>10488.256143750001</v>
      </c>
      <c r="D35" s="6">
        <f t="shared" si="10"/>
        <v>6377.9788800000006</v>
      </c>
      <c r="E35" s="6">
        <f t="shared" si="10"/>
        <v>3412.3028506875007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104</v>
      </c>
      <c r="C36" s="6">
        <f t="shared" si="10"/>
        <v>11039.015048906249</v>
      </c>
      <c r="D36" s="6">
        <f t="shared" si="10"/>
        <v>6657.6650649600015</v>
      </c>
      <c r="E36" s="6">
        <f t="shared" si="10"/>
        <v>3342.5057469234375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105</v>
      </c>
      <c r="C37" s="6">
        <f t="shared" si="10"/>
        <v>11618.629204218751</v>
      </c>
      <c r="D37" s="6">
        <f t="shared" si="10"/>
        <v>6949.5213785088026</v>
      </c>
      <c r="E37" s="6">
        <f t="shared" si="10"/>
        <v>3257.19817565625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106</v>
      </c>
      <c r="C39" s="6">
        <f>C33*(1-Inputs!B22)</f>
        <v>6996.5859599999994</v>
      </c>
      <c r="D39" s="6">
        <f>D33*(1-Inputs!B22)</f>
        <v>4325.4556800000009</v>
      </c>
      <c r="E39" s="6">
        <f>E33*(1-Inputs!B22)</f>
        <v>2594.1956134500001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107</v>
      </c>
      <c r="C40" s="6">
        <f>C34*(1-Inputs!B22)</f>
        <v>7364.0749100624998</v>
      </c>
      <c r="D40" s="6">
        <f>D34*(1-Inputs!B22)</f>
        <v>4515.2592576000006</v>
      </c>
      <c r="E40" s="6">
        <f>E34*(1-Inputs!B22)</f>
        <v>2562.758319279375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108</v>
      </c>
      <c r="C41" s="6">
        <f>C35*(1-Inputs!B22)</f>
        <v>7750.8212902312507</v>
      </c>
      <c r="D41" s="6">
        <f>D35*(1-Inputs!B22)</f>
        <v>4713.3263923200002</v>
      </c>
      <c r="E41" s="6">
        <f>E35*(1-Inputs!B22)</f>
        <v>2521.6918066580629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109</v>
      </c>
      <c r="C42" s="6">
        <f>C36*(1-Inputs!B22)</f>
        <v>8157.8321211417178</v>
      </c>
      <c r="D42" s="6">
        <f>D36*(1-Inputs!B22)</f>
        <v>4920.0144830054414</v>
      </c>
      <c r="E42" s="6">
        <f>E36*(1-Inputs!B22)</f>
        <v>2470.1117469764204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110</v>
      </c>
      <c r="C43" s="6">
        <f>C37*(1-Inputs!B22)</f>
        <v>8586.1669819176568</v>
      </c>
      <c r="D43" s="6">
        <f>D37*(1-Inputs!B22)</f>
        <v>5135.696298718005</v>
      </c>
      <c r="E43" s="6">
        <f>E37*(1-Inputs!B22)</f>
        <v>2407.0694518099685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111</v>
      </c>
      <c r="C45" s="6">
        <f t="shared" ref="C45:J45" si="11">C21*IF(ISBLANK(C26),C12,C12+(C26-C12)*(0)/4)</f>
        <v>182.07</v>
      </c>
      <c r="D45" s="6">
        <f t="shared" si="11"/>
        <v>174.72</v>
      </c>
      <c r="E45" s="6">
        <f t="shared" si="11"/>
        <v>44.661750000000005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112</v>
      </c>
      <c r="C46" s="6">
        <f t="shared" ref="C46:J46" si="12">C22*IF(ISBLANK(C26),C12,C12+(C26-C12)*(1)/4)</f>
        <v>191.17349999999999</v>
      </c>
      <c r="D46" s="6">
        <f t="shared" si="12"/>
        <v>181.70880000000002</v>
      </c>
      <c r="E46" s="6">
        <f t="shared" si="12"/>
        <v>46.894837500000001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113</v>
      </c>
      <c r="C47" s="6">
        <f t="shared" ref="C47:J47" si="13">C23*IF(ISBLANK(C26),C12,C12+(C26-C12)*(2)/4)</f>
        <v>200.73217500000001</v>
      </c>
      <c r="D47" s="6">
        <f t="shared" si="13"/>
        <v>188.97715200000002</v>
      </c>
      <c r="E47" s="6">
        <f t="shared" si="13"/>
        <v>49.239579375000005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114</v>
      </c>
      <c r="C48" s="6">
        <f t="shared" ref="C48:J48" si="14">C24*IF(ISBLANK(C26),C12,C12+(C26-C12)*(3)/4)</f>
        <v>210.76878375000001</v>
      </c>
      <c r="D48" s="6">
        <f t="shared" si="14"/>
        <v>196.53623808000003</v>
      </c>
      <c r="E48" s="6">
        <f t="shared" si="14"/>
        <v>51.701558343750001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115</v>
      </c>
      <c r="C49" s="6">
        <f t="shared" ref="C49:J49" si="15">C25*IF(ISBLANK(C26),C12,C12+(C26-C12)*(4)/4)</f>
        <v>221.30722293750003</v>
      </c>
      <c r="D49" s="6">
        <f t="shared" si="15"/>
        <v>204.39768760320007</v>
      </c>
      <c r="E49" s="6">
        <f t="shared" si="15"/>
        <v>54.286636260937506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116</v>
      </c>
      <c r="C51" s="6">
        <f t="shared" ref="C51:J55" si="16">C39-C45</f>
        <v>6814.5159599999997</v>
      </c>
      <c r="D51" s="6">
        <f t="shared" si="16"/>
        <v>4150.7356800000007</v>
      </c>
      <c r="E51" s="6">
        <f t="shared" si="16"/>
        <v>2549.5338634499999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117</v>
      </c>
      <c r="C52" s="6">
        <f t="shared" si="16"/>
        <v>7172.9014100625</v>
      </c>
      <c r="D52" s="6">
        <f t="shared" si="16"/>
        <v>4333.5504576000003</v>
      </c>
      <c r="E52" s="6">
        <f t="shared" si="16"/>
        <v>2515.863481779375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118</v>
      </c>
      <c r="C53" s="6">
        <f t="shared" si="16"/>
        <v>7550.0891152312506</v>
      </c>
      <c r="D53" s="6">
        <f t="shared" si="16"/>
        <v>4524.3492403199998</v>
      </c>
      <c r="E53" s="6">
        <f t="shared" si="16"/>
        <v>2472.4522272830627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119</v>
      </c>
      <c r="C54" s="6">
        <f t="shared" si="16"/>
        <v>7947.0633373917181</v>
      </c>
      <c r="D54" s="6">
        <f t="shared" si="16"/>
        <v>4723.4782449254417</v>
      </c>
      <c r="E54" s="6">
        <f t="shared" si="16"/>
        <v>2418.4101886326703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120</v>
      </c>
      <c r="C55" s="6">
        <f t="shared" si="16"/>
        <v>8364.8597589801575</v>
      </c>
      <c r="D55" s="6">
        <f t="shared" si="16"/>
        <v>4931.2986111148048</v>
      </c>
      <c r="E55" s="6">
        <f t="shared" si="16"/>
        <v>2352.7828155490311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121</v>
      </c>
      <c r="C57" s="6">
        <f t="shared" ref="C57:J57" si="17">C51/((1+C16))</f>
        <v>6495.5975942552104</v>
      </c>
      <c r="D57" s="6">
        <f t="shared" si="17"/>
        <v>3956.4818478167113</v>
      </c>
      <c r="E57" s="6">
        <f t="shared" si="17"/>
        <v>2428.1793231811575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122</v>
      </c>
      <c r="C58" s="6">
        <f t="shared" ref="C58:J58" si="18">C52/((1+C16)*(1+C16+(C104-C16)*1/5))</f>
        <v>6485.7208820284432</v>
      </c>
      <c r="D58" s="6">
        <f t="shared" si="18"/>
        <v>3918.3863111169317</v>
      </c>
      <c r="E58" s="6">
        <f t="shared" si="18"/>
        <v>2271.4146291616375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123</v>
      </c>
      <c r="C59" s="6">
        <f t="shared" ref="C59:J59" si="19">C53/((1+C16)*(1+C16+(C104-C16)*1/5)*(1+C16+(C104-C16)*2/5))</f>
        <v>6444.6614869811274</v>
      </c>
      <c r="D59" s="6">
        <f t="shared" si="19"/>
        <v>3861.927833927236</v>
      </c>
      <c r="E59" s="6">
        <f t="shared" si="19"/>
        <v>2106.2285004780319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124</v>
      </c>
      <c r="C60" s="6">
        <f t="shared" ref="C60:J60" si="20">C54/((1+C16)*(1+C16+(C104-C16)*1/5)*(1+C16+(C104-C16)*2/5)*(1+C16+(C104-C16)*3/5))</f>
        <v>6373.158908574359</v>
      </c>
      <c r="D60" s="6">
        <f t="shared" si="20"/>
        <v>3788.0001930353219</v>
      </c>
      <c r="E60" s="6">
        <f t="shared" si="20"/>
        <v>1934.9243286502785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125</v>
      </c>
      <c r="C61" s="6">
        <f t="shared" ref="C61:J61" si="21">C55/((1+C16)*(1+C16+(C104-C16)*1/5)*(1+C16+(C104-C16)*2/5)*(1+C16+(C104-C16)*3/5)*(1+C16+(C104-C16)*4/5))</f>
        <v>6272.3767468578108</v>
      </c>
      <c r="D61" s="6">
        <f t="shared" si="21"/>
        <v>3697.72639726118</v>
      </c>
      <c r="E61" s="6">
        <f t="shared" si="21"/>
        <v>1759.8262784028138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126</v>
      </c>
    </row>
    <row r="63" spans="1:10" x14ac:dyDescent="0.4">
      <c r="A63" s="4" t="s">
        <v>127</v>
      </c>
      <c r="C63" s="6">
        <f t="shared" ref="C63:J63" si="22">C25*(1+(C6+(C13-C6)*1/5))</f>
        <v>115522.37037337502</v>
      </c>
      <c r="D63" s="6">
        <f t="shared" si="22"/>
        <v>105878.00217845764</v>
      </c>
      <c r="E63" s="6">
        <f t="shared" si="22"/>
        <v>11356.764305788127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128</v>
      </c>
      <c r="C64" s="6">
        <f t="shared" ref="C64:J64" si="23">C63*(1+(C6+(C13-C6)*2/5))</f>
        <v>119912.22044756328</v>
      </c>
      <c r="D64" s="6">
        <f t="shared" si="23"/>
        <v>109266.09824816829</v>
      </c>
      <c r="E64" s="6">
        <f t="shared" si="23"/>
        <v>11833.748406631228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129</v>
      </c>
      <c r="C65" s="6">
        <f t="shared" ref="C65:J65" si="24">C64*(1+(C6+(C13-C6)*3/5))</f>
        <v>123749.4115018853</v>
      </c>
      <c r="D65" s="6">
        <f t="shared" si="24"/>
        <v>112325.548999117</v>
      </c>
      <c r="E65" s="6">
        <f t="shared" si="24"/>
        <v>12283.430846083214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130</v>
      </c>
      <c r="C66" s="6">
        <f t="shared" ref="C66:J66" si="25">C65*(1+(C6+(C13-C6)*4/5))</f>
        <v>126966.89620093432</v>
      </c>
      <c r="D66" s="6">
        <f t="shared" si="25"/>
        <v>115021.36217509581</v>
      </c>
      <c r="E66" s="6">
        <f t="shared" si="25"/>
        <v>12701.067494850044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131</v>
      </c>
      <c r="C67" s="6">
        <f t="shared" ref="C67:J67" si="26">C66*(1+(C6+(C13-C6)*5/5))</f>
        <v>129506.23412495301</v>
      </c>
      <c r="D67" s="6">
        <f t="shared" si="26"/>
        <v>117321.78941859773</v>
      </c>
      <c r="E67" s="6">
        <f t="shared" si="26"/>
        <v>13082.099519695545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132</v>
      </c>
      <c r="C69" s="11">
        <f t="shared" ref="C69:J69" si="27">IF(ISBLANK(C9),C7,C9)</f>
        <v>0.105</v>
      </c>
      <c r="D69" s="11">
        <f t="shared" si="27"/>
        <v>6.8000000000000005E-2</v>
      </c>
      <c r="E69" s="11">
        <f t="shared" si="27"/>
        <v>0.3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133</v>
      </c>
      <c r="C70" s="11">
        <f t="shared" ref="C70:J70" si="28">IF(ISBLANK(C9),C7,C9)</f>
        <v>0.105</v>
      </c>
      <c r="D70" s="11">
        <f t="shared" si="28"/>
        <v>6.8000000000000005E-2</v>
      </c>
      <c r="E70" s="11">
        <f t="shared" si="28"/>
        <v>0.3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134</v>
      </c>
      <c r="C71" s="11">
        <f t="shared" ref="C71:J71" si="29">IF(ISBLANK(C9),C7,C9)</f>
        <v>0.105</v>
      </c>
      <c r="D71" s="11">
        <f t="shared" si="29"/>
        <v>6.8000000000000005E-2</v>
      </c>
      <c r="E71" s="11">
        <f t="shared" si="29"/>
        <v>0.3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135</v>
      </c>
      <c r="C72" s="11">
        <f t="shared" ref="C72:J72" si="30">IF(ISBLANK(C9),C7,C9)</f>
        <v>0.105</v>
      </c>
      <c r="D72" s="11">
        <f t="shared" si="30"/>
        <v>6.8000000000000005E-2</v>
      </c>
      <c r="E72" s="11">
        <f t="shared" si="30"/>
        <v>0.3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136</v>
      </c>
      <c r="C73" s="11">
        <f t="shared" ref="C73:J73" si="31">IF(ISBLANK(C9),C7,C9)</f>
        <v>0.105</v>
      </c>
      <c r="D73" s="11">
        <f t="shared" si="31"/>
        <v>6.8000000000000005E-2</v>
      </c>
      <c r="E73" s="11">
        <f t="shared" si="31"/>
        <v>0.3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137</v>
      </c>
      <c r="C75" s="6">
        <f t="shared" ref="C75:J79" si="32">C63*C69</f>
        <v>12129.848889204377</v>
      </c>
      <c r="D75" s="6">
        <f t="shared" si="32"/>
        <v>7199.7041481351198</v>
      </c>
      <c r="E75" s="6">
        <f t="shared" si="32"/>
        <v>3407.0292917364382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138</v>
      </c>
      <c r="C76" s="6">
        <f t="shared" si="32"/>
        <v>12590.783146994143</v>
      </c>
      <c r="D76" s="6">
        <f t="shared" si="32"/>
        <v>7430.0946808754443</v>
      </c>
      <c r="E76" s="6">
        <f t="shared" si="32"/>
        <v>3550.1245219893685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139</v>
      </c>
      <c r="C77" s="6">
        <f t="shared" si="32"/>
        <v>12993.688207697956</v>
      </c>
      <c r="D77" s="6">
        <f t="shared" si="32"/>
        <v>7638.1373319399572</v>
      </c>
      <c r="E77" s="6">
        <f t="shared" si="32"/>
        <v>3685.0292538249641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140</v>
      </c>
      <c r="C78" s="6">
        <f t="shared" si="32"/>
        <v>13331.524101098103</v>
      </c>
      <c r="D78" s="6">
        <f t="shared" si="32"/>
        <v>7821.4526279065158</v>
      </c>
      <c r="E78" s="6">
        <f t="shared" si="32"/>
        <v>3810.3202484550129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141</v>
      </c>
      <c r="C79" s="6">
        <f t="shared" si="32"/>
        <v>13598.154583120066</v>
      </c>
      <c r="D79" s="6">
        <f t="shared" si="32"/>
        <v>7977.8816804646467</v>
      </c>
      <c r="E79" s="6">
        <f t="shared" si="32"/>
        <v>3924.6298559086631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142</v>
      </c>
      <c r="C81" s="6">
        <f>C75*(1-Inputs!B22)</f>
        <v>8963.9583291220351</v>
      </c>
      <c r="D81" s="6">
        <f>D75*(1-Inputs!B22)</f>
        <v>5320.5813654718531</v>
      </c>
      <c r="E81" s="6">
        <f>E75*(1-Inputs!B22)</f>
        <v>2517.7946465932278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143</v>
      </c>
      <c r="C82" s="6">
        <f>C76*(1-Inputs!B22)</f>
        <v>9304.5887456286709</v>
      </c>
      <c r="D82" s="6">
        <f>D76*(1-Inputs!B22)</f>
        <v>5490.8399691669529</v>
      </c>
      <c r="E82" s="6">
        <f>E76*(1-Inputs!B22)</f>
        <v>2623.5420217501432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144</v>
      </c>
      <c r="C83" s="6">
        <f>C77*(1-Inputs!B22)</f>
        <v>9602.3355854887905</v>
      </c>
      <c r="D83" s="6">
        <f>D77*(1-Inputs!B22)</f>
        <v>5644.5834883036287</v>
      </c>
      <c r="E83" s="6">
        <f>E77*(1-Inputs!B22)</f>
        <v>2723.2366185766487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145</v>
      </c>
      <c r="C84" s="6">
        <f>C78*(1-Inputs!B22)</f>
        <v>9851.9963107114982</v>
      </c>
      <c r="D84" s="6">
        <f>D78*(1-Inputs!B22)</f>
        <v>5780.0534920229147</v>
      </c>
      <c r="E84" s="6">
        <f>E78*(1-Inputs!B22)</f>
        <v>2815.8266636082544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146</v>
      </c>
      <c r="C85" s="6">
        <f>C79*(1-Inputs!B22)</f>
        <v>10049.036236925729</v>
      </c>
      <c r="D85" s="6">
        <f>D79*(1-Inputs!B22)</f>
        <v>5895.6545618633736</v>
      </c>
      <c r="E85" s="6">
        <f>E79*(1-Inputs!B22)</f>
        <v>2900.3014635165018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147</v>
      </c>
      <c r="C87" s="6">
        <f t="shared" ref="C87:J87" si="33">C63*MAX(IF(ISBLANK(C26),C12,C26),0)</f>
        <v>231.04474074675002</v>
      </c>
      <c r="D87" s="6">
        <f t="shared" si="33"/>
        <v>211.75600435691527</v>
      </c>
      <c r="E87" s="6">
        <f t="shared" si="33"/>
        <v>56.783821528940635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148</v>
      </c>
      <c r="C88" s="6">
        <f t="shared" ref="C88:J88" si="34">C64*MAX(IF(ISBLANK(C26),C12,C26),0)</f>
        <v>239.82444089512654</v>
      </c>
      <c r="D88" s="6">
        <f t="shared" si="34"/>
        <v>218.53219649633658</v>
      </c>
      <c r="E88" s="6">
        <f t="shared" si="34"/>
        <v>59.168742033156143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149</v>
      </c>
      <c r="C89" s="6">
        <f t="shared" ref="C89:J89" si="35">C65*MAX(IF(ISBLANK(C26),C12,C26),0)</f>
        <v>247.49882300377061</v>
      </c>
      <c r="D89" s="6">
        <f t="shared" si="35"/>
        <v>224.65109799823401</v>
      </c>
      <c r="E89" s="6">
        <f t="shared" si="35"/>
        <v>61.417154230416074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150</v>
      </c>
      <c r="C90" s="6">
        <f t="shared" ref="C90:J90" si="36">C66*MAX(IF(ISBLANK(C26),C12,C26),0)</f>
        <v>253.93379240186866</v>
      </c>
      <c r="D90" s="6">
        <f t="shared" si="36"/>
        <v>230.04272435019163</v>
      </c>
      <c r="E90" s="6">
        <f t="shared" si="36"/>
        <v>63.505337474250219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151</v>
      </c>
      <c r="C91" s="6">
        <f t="shared" ref="C91:J91" si="37">C67*MAX(IF(ISBLANK(C26),C12,C26),0)</f>
        <v>259.01246824990602</v>
      </c>
      <c r="D91" s="6">
        <f t="shared" si="37"/>
        <v>234.64357883719546</v>
      </c>
      <c r="E91" s="6">
        <f t="shared" si="37"/>
        <v>65.410497598477718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152</v>
      </c>
      <c r="C93" s="6">
        <f t="shared" ref="C93:J97" si="38">C81-C87</f>
        <v>8732.9135883752842</v>
      </c>
      <c r="D93" s="6">
        <f t="shared" si="38"/>
        <v>5108.8253611149376</v>
      </c>
      <c r="E93" s="6">
        <f t="shared" si="38"/>
        <v>2461.010825064287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153</v>
      </c>
      <c r="C94" s="6">
        <f t="shared" si="38"/>
        <v>9064.7643047335441</v>
      </c>
      <c r="D94" s="6">
        <f t="shared" si="38"/>
        <v>5272.307772670616</v>
      </c>
      <c r="E94" s="6">
        <f t="shared" si="38"/>
        <v>2564.3732797169873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154</v>
      </c>
      <c r="C95" s="6">
        <f t="shared" si="38"/>
        <v>9354.8367624850198</v>
      </c>
      <c r="D95" s="6">
        <f t="shared" si="38"/>
        <v>5419.9323903053946</v>
      </c>
      <c r="E95" s="6">
        <f t="shared" si="38"/>
        <v>2661.8194643462325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155</v>
      </c>
      <c r="C96" s="6">
        <f t="shared" si="38"/>
        <v>9598.062518309629</v>
      </c>
      <c r="D96" s="6">
        <f t="shared" si="38"/>
        <v>5550.010767672723</v>
      </c>
      <c r="E96" s="6">
        <f t="shared" si="38"/>
        <v>2752.3213261340043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156</v>
      </c>
      <c r="C97" s="6">
        <f t="shared" si="38"/>
        <v>9790.0237686758228</v>
      </c>
      <c r="D97" s="6">
        <f t="shared" si="38"/>
        <v>5661.0109830261781</v>
      </c>
      <c r="E97" s="6">
        <f t="shared" si="38"/>
        <v>2834.890965918024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157</v>
      </c>
      <c r="C99" s="6">
        <f t="shared" ref="C99:J99" si="39">C93/(((1+C16)*(1+C16+(C104-C16)*1/5)*(1+C16+(C104-C16)*2/5)*(1+C16+(C104-C16)*3/5)*(1+C16+(C104-C16)*4/5))*(1+C104)^1)</f>
        <v>6093.8709918026152</v>
      </c>
      <c r="D99" s="6">
        <f t="shared" si="39"/>
        <v>3564.964012895482</v>
      </c>
      <c r="E99" s="6">
        <f t="shared" si="39"/>
        <v>1713.0187007447316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158</v>
      </c>
      <c r="C100" s="6">
        <f t="shared" ref="C100:J100" si="40">C94/(((1+C16)*(1+C16+(C104-C16)*1/5)*(1+C16+(C104-C16)*2/5)*(1+C16+(C104-C16)*3/5)*(1+C16+(C104-C16)*4/5))*(1+C104)^2)</f>
        <v>5886.4197893860855</v>
      </c>
      <c r="D100" s="6">
        <f t="shared" si="40"/>
        <v>3423.6981531418487</v>
      </c>
      <c r="E100" s="6">
        <f t="shared" si="40"/>
        <v>1661.0795983686442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159</v>
      </c>
      <c r="C101" s="6">
        <f t="shared" ref="C101:J101" si="41">C95/(((1+C16)*(1+C16+(C104-C16)*1/5)*(1+C16+(C104-C16)*2/5)*(1+C16+(C104-C16)*3/5)*(1+C16+(C104-C16)*4/5))*(1+C104)^3)</f>
        <v>5653.1635350703427</v>
      </c>
      <c r="D101" s="6">
        <f t="shared" si="41"/>
        <v>3275.2858151724658</v>
      </c>
      <c r="E101" s="6">
        <f t="shared" si="41"/>
        <v>1604.5321328160126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160</v>
      </c>
      <c r="C102" s="6">
        <f t="shared" ref="C102:J102" si="42">C96/(((1+C16)*(1+C16+(C104-C16)*1/5)*(1+C16+(C104-C16)*2/5)*(1+C16+(C104-C16)*3/5)*(1+C16+(C104-C16)*4/5))*(1+C104)^4)</f>
        <v>5397.5855045579829</v>
      </c>
      <c r="D102" s="6">
        <f t="shared" si="42"/>
        <v>3121.1150805263619</v>
      </c>
      <c r="E102" s="6">
        <f t="shared" si="42"/>
        <v>1543.9370128870244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161</v>
      </c>
      <c r="C103" s="6">
        <f t="shared" ref="C103:J103" si="43">C97/(((1+C16)*(1+C16+(C104-C16)*1/5)*(1+C16+(C104-C16)*2/5)*(1+C16+(C104-C16)*3/5)*(1+C16+(C104-C16)*4/5))*(1+C104)^5)</f>
        <v>5123.4242993151338</v>
      </c>
      <c r="D103" s="6">
        <f t="shared" si="43"/>
        <v>2962.5833311995279</v>
      </c>
      <c r="E103" s="6">
        <f t="shared" si="43"/>
        <v>1479.8831472815232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162</v>
      </c>
      <c r="C104" s="11">
        <f>MAX((Inputs!B18+((1+(1-Inputs!B22)*(Inputs!B36/(1-Inputs!B36)))/(1+(1-Inputs!B22)*0.25))*Inputs!B19+IF(ISBLANK(C17),Inputs!B24,C17)+Inputs!B25+Inputs!B39)*(1-Inputs!B36)+Inputs!B38*Inputs!B36,C15)</f>
        <v>7.4581548005908438E-2</v>
      </c>
      <c r="D104" s="11">
        <f>MAX((Inputs!B18+((1+(1-Inputs!B22)*(Inputs!B36/(1-Inputs!B36)))/(1+(1-Inputs!B22)*0.25))*Inputs!B19+IF(ISBLANK(D17),Inputs!B24,D17)+Inputs!B25+Inputs!B39)*(1-Inputs!B36)+Inputs!B38*Inputs!B36,D15)</f>
        <v>7.4581548005908438E-2</v>
      </c>
      <c r="E104" s="11">
        <f>MAX((Inputs!B18+((1+(1-Inputs!B22)*(Inputs!B36/(1-Inputs!B36)))/(1+(1-Inputs!B22)*0.25))*Inputs!B19+IF(ISBLANK(E17),Inputs!B24,E17)+Inputs!B25+Inputs!B39)*(1-Inputs!B36)+Inputs!B38*Inputs!B36,E15)</f>
        <v>7.4581548005908438E-2</v>
      </c>
      <c r="F104" s="11">
        <f>MAX((Inputs!B18+((1+(1-Inputs!B22)*(Inputs!B36/(1-Inputs!B36)))/(1+(1-Inputs!B22)*0.25))*Inputs!B19+IF(ISBLANK(F17),Inputs!B24,F17)+Inputs!B25+Inputs!B39)*(1-Inputs!B36)+Inputs!B38*Inputs!B36,F15)</f>
        <v>7.4581548005908438E-2</v>
      </c>
      <c r="G104" s="11">
        <f>MAX((Inputs!B18+((1+(1-Inputs!B22)*(Inputs!B36/(1-Inputs!B36)))/(1+(1-Inputs!B22)*0.25))*Inputs!B19+IF(ISBLANK(G17),Inputs!B24,G17)+Inputs!B25+Inputs!B39)*(1-Inputs!B36)+Inputs!B38*Inputs!B36,G15)</f>
        <v>7.4581548005908438E-2</v>
      </c>
      <c r="H104" s="11">
        <f>MAX((Inputs!B18+((1+(1-Inputs!B22)*(Inputs!B36/(1-Inputs!B36)))/(1+(1-Inputs!B22)*0.25))*Inputs!B19+IF(ISBLANK(H17),Inputs!B24,H17)+Inputs!B25+Inputs!B39)*(1-Inputs!B36)+Inputs!B38*Inputs!B36,H15)</f>
        <v>7.4581548005908438E-2</v>
      </c>
      <c r="I104" s="11">
        <f>MAX((Inputs!B18+((1+(1-Inputs!B22)*(Inputs!B36/(1-Inputs!B36)))/(1+(1-Inputs!B22)*0.25))*Inputs!B19+IF(ISBLANK(I17),Inputs!B24,I17)+Inputs!B25+Inputs!B39)*(1-Inputs!B36)+Inputs!B38*Inputs!B36,I15)</f>
        <v>7.4581548005908438E-2</v>
      </c>
      <c r="J104" s="11">
        <f>MAX((Inputs!B18+((1+(1-Inputs!B22)*(Inputs!B36/(1-Inputs!B36)))/(1+(1-Inputs!B22)*0.25))*Inputs!B19+IF(ISBLANK(J17),Inputs!B24,J17)+Inputs!B25+Inputs!B39)*(1-Inputs!B36)+Inputs!B38*Inputs!B36,J15)</f>
        <v>7.4581548005908438E-2</v>
      </c>
    </row>
    <row r="105" spans="1:11" x14ac:dyDescent="0.4">
      <c r="A105" s="4" t="s">
        <v>163</v>
      </c>
      <c r="C105" s="6">
        <f t="shared" ref="C105:J105" si="44">SUM(C57:C61,C99:C103)</f>
        <v>60225.979738829112</v>
      </c>
      <c r="D105" s="6">
        <f t="shared" si="44"/>
        <v>35570.168976093068</v>
      </c>
      <c r="E105" s="6">
        <f t="shared" si="44"/>
        <v>18503.023651971853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164</v>
      </c>
      <c r="C106" s="6">
        <f t="shared" ref="C106:J106" si="45">IF(C5=0,0,C97*(1+C13)/(C104-C13))</f>
        <v>182952.38242360545</v>
      </c>
      <c r="D106" s="6">
        <f t="shared" si="45"/>
        <v>105790.90212065153</v>
      </c>
      <c r="E106" s="6">
        <f t="shared" si="45"/>
        <v>65496.552396713145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165</v>
      </c>
      <c r="C107" s="6">
        <f t="shared" ref="C107:J107" si="46">C106/(((1+C16)*(1+C16+(C104-C16)*1/5)*(1+C16+(C104-C16)*2/5)*(1+C16+(C104-C16)*3/5)*(1+C16+(C104-C16)*4/5))*(1+C104)^5)</f>
        <v>95744.678856226936</v>
      </c>
      <c r="D107" s="6">
        <f t="shared" si="46"/>
        <v>55363.673406558679</v>
      </c>
      <c r="E107" s="6">
        <f t="shared" si="46"/>
        <v>34190.819069314377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166</v>
      </c>
      <c r="C109" s="20">
        <f t="shared" ref="C109:J109" si="47">C105+C107</f>
        <v>155970.65859505604</v>
      </c>
      <c r="D109" s="20">
        <f t="shared" si="47"/>
        <v>90933.842382651754</v>
      </c>
      <c r="E109" s="20">
        <f t="shared" si="47"/>
        <v>52693.84272128623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299598.34369899402</v>
      </c>
    </row>
    <row r="110" spans="1:11" x14ac:dyDescent="0.4">
      <c r="A110" s="4" t="s">
        <v>167</v>
      </c>
      <c r="K110" s="11">
        <f>IFERROR(SUMPRODUCT(C109:J109,C16:J16)/SUM(C109:J109),0)</f>
        <v>4.9252387690979241E-2</v>
      </c>
    </row>
    <row r="111" spans="1:11" x14ac:dyDescent="0.4">
      <c r="A111" s="4" t="s">
        <v>168</v>
      </c>
      <c r="K111" s="5">
        <v>43592</v>
      </c>
    </row>
    <row r="112" spans="1:11" x14ac:dyDescent="0.4">
      <c r="A112" s="4" t="s">
        <v>169</v>
      </c>
      <c r="K112" s="5">
        <v>700</v>
      </c>
    </row>
    <row r="113" spans="1:11" x14ac:dyDescent="0.4">
      <c r="A113" s="4" t="s">
        <v>170</v>
      </c>
      <c r="K113" s="5">
        <v>-10338.831418143151</v>
      </c>
    </row>
    <row r="114" spans="1:11" x14ac:dyDescent="0.4">
      <c r="A114" s="4" t="s">
        <v>171</v>
      </c>
      <c r="K114" s="5">
        <v>0</v>
      </c>
    </row>
    <row r="115" spans="1:11" x14ac:dyDescent="0.4">
      <c r="A115" s="4" t="s">
        <v>172</v>
      </c>
      <c r="K115" s="5">
        <v>0</v>
      </c>
    </row>
    <row r="116" spans="1:11" x14ac:dyDescent="0.4">
      <c r="A116" s="4" t="s">
        <v>173</v>
      </c>
      <c r="K116" s="5">
        <v>-165</v>
      </c>
    </row>
    <row r="117" spans="1:11" x14ac:dyDescent="0.4">
      <c r="A117" s="4" t="s">
        <v>174</v>
      </c>
      <c r="K117" s="5">
        <v>0</v>
      </c>
    </row>
    <row r="118" spans="1:11" x14ac:dyDescent="0.4">
      <c r="A118" s="4" t="s">
        <v>175</v>
      </c>
      <c r="K118" s="5">
        <v>0</v>
      </c>
    </row>
    <row r="119" spans="1:11" x14ac:dyDescent="0.4">
      <c r="A119" s="4" t="s">
        <v>176</v>
      </c>
      <c r="K119" s="20">
        <f>K109+K113+K114+K115+K116+K117+K118-K111-K112</f>
        <v>244802.51228085085</v>
      </c>
    </row>
    <row r="120" spans="1:11" x14ac:dyDescent="0.4">
      <c r="A120" s="4" t="s">
        <v>177</v>
      </c>
      <c r="K120" s="6">
        <f>Inputs!B11</f>
        <v>388.4</v>
      </c>
    </row>
    <row r="122" spans="1:11" ht="15.9" customHeight="1" x14ac:dyDescent="0.45">
      <c r="A122" s="4" t="s">
        <v>178</v>
      </c>
      <c r="K122" s="21">
        <f>K119/K120</f>
        <v>630.28453213401349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179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86700</v>
      </c>
      <c r="D5" s="5">
        <v>84000</v>
      </c>
      <c r="E5" s="5">
        <v>8507</v>
      </c>
      <c r="F5" s="5"/>
      <c r="G5" s="5"/>
      <c r="H5" s="5"/>
      <c r="I5" s="5"/>
      <c r="J5" s="5"/>
    </row>
    <row r="6" spans="1:11" x14ac:dyDescent="0.4">
      <c r="A6" s="4" t="s">
        <v>66</v>
      </c>
      <c r="C6" s="7">
        <v>6.5658672615972413E-2</v>
      </c>
      <c r="D6" s="7">
        <v>5.5658672615972397E-2</v>
      </c>
      <c r="E6" s="7">
        <v>0.08</v>
      </c>
      <c r="F6" s="7"/>
      <c r="G6" s="7"/>
      <c r="H6" s="7"/>
      <c r="I6" s="7"/>
      <c r="J6" s="7"/>
    </row>
    <row r="7" spans="1:11" x14ac:dyDescent="0.4">
      <c r="A7" s="4" t="s">
        <v>67</v>
      </c>
      <c r="C7" s="7">
        <v>0.11899999999999999</v>
      </c>
      <c r="D7" s="7">
        <v>9.3843438770238402E-2</v>
      </c>
      <c r="E7" s="7">
        <v>0.41984343877023839</v>
      </c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0.104</v>
      </c>
      <c r="D8" s="15">
        <v>6.7000000000000004E-2</v>
      </c>
      <c r="E8" s="15">
        <v>0.39300000000000002</v>
      </c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0.13184343877023841</v>
      </c>
      <c r="D9" s="7">
        <v>9.4843438770238403E-2</v>
      </c>
      <c r="E9" s="7">
        <v>0.32</v>
      </c>
      <c r="F9" s="7"/>
      <c r="G9" s="7"/>
      <c r="H9" s="7"/>
      <c r="I9" s="7"/>
      <c r="J9" s="7"/>
    </row>
    <row r="10" spans="1:11" x14ac:dyDescent="0.4">
      <c r="A10" s="4" t="s">
        <v>70</v>
      </c>
      <c r="C10" s="7">
        <v>5.0000000000000001E-3</v>
      </c>
      <c r="D10" s="7">
        <v>5.0000000000000001E-3</v>
      </c>
      <c r="E10" s="7">
        <v>0.01</v>
      </c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3.0000000000000001E-3</v>
      </c>
      <c r="D11" s="7">
        <v>3.0000000000000001E-3</v>
      </c>
      <c r="E11" s="7">
        <v>0.01</v>
      </c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2E-3</v>
      </c>
      <c r="D12" s="7">
        <v>2E-3</v>
      </c>
      <c r="E12" s="7">
        <v>5.0000000000000001E-3</v>
      </c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2.4473906461706399E-2</v>
      </c>
      <c r="D13" s="7">
        <v>2.4473906461706399E-2</v>
      </c>
      <c r="E13" s="7">
        <v>3.4473906461706401E-2</v>
      </c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0.45800000000000002</v>
      </c>
      <c r="D14" s="9">
        <v>0.45800000000000002</v>
      </c>
      <c r="E14" s="9">
        <v>0.48662499999999997</v>
      </c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4.909761744275E-2</v>
      </c>
      <c r="D16" s="11">
        <f>MAX((MAX(Inputs!B18+((1-0.33)*D14*(1+(1-Inputs!B22)*Inputs!B21)+0.33)*Inputs!B19+IF(ISBLANK(D17),Inputs!B24,D17)+Inputs!B25+Inputs!B39,MIN(Inputs!B27,0.08)+0.025))*Inputs!B29+Inputs!B28*Inputs!B30,D15)</f>
        <v>4.909761744275E-2</v>
      </c>
      <c r="E16" s="11">
        <f>MAX((MAX(Inputs!B18+((1-0.33)*E14*(1+(1-Inputs!B22)*Inputs!B21)+0.33)*Inputs!B19+IF(ISBLANK(E17),Inputs!B24,E17)+Inputs!B25+Inputs!B39,MIN(Inputs!B27,0.08)+0.025))*Inputs!B29+Inputs!B28*Inputs!B30,E15)</f>
        <v>4.997758572042188E-2</v>
      </c>
      <c r="F16" s="11">
        <f>MAX((MAX(Inputs!B18+((1-0.33)*F14*(1+(1-Inputs!B22)*Inputs!B21)+0.33)*Inputs!B19+IF(ISBLANK(F17),Inputs!B24,F17)+Inputs!B25+Inputs!B39,MIN(Inputs!B27,0.08)+0.025))*Inputs!B29+Inputs!B28*Inputs!B30,F15)</f>
        <v>3.6811499999999997E-2</v>
      </c>
      <c r="G16" s="11">
        <f>MAX((MAX(Inputs!B18+((1-0.33)*G14*(1+(1-Inputs!B22)*Inputs!B21)+0.33)*Inputs!B19+IF(ISBLANK(G17),Inputs!B24,G17)+Inputs!B25+Inputs!B39,MIN(Inputs!B27,0.08)+0.025))*Inputs!B29+Inputs!B28*Inputs!B30,G15)</f>
        <v>3.6811499999999997E-2</v>
      </c>
      <c r="H16" s="11">
        <f>MAX((MAX(Inputs!B18+((1-0.33)*H14*(1+(1-Inputs!B22)*Inputs!B21)+0.33)*Inputs!B19+IF(ISBLANK(H17),Inputs!B24,H17)+Inputs!B25+Inputs!B39,MIN(Inputs!B27,0.08)+0.025))*Inputs!B29+Inputs!B28*Inputs!B30,H15)</f>
        <v>3.6811499999999997E-2</v>
      </c>
      <c r="I16" s="11">
        <f>MAX((MAX(Inputs!B18+((1-0.33)*I14*(1+(1-Inputs!B22)*Inputs!B21)+0.33)*Inputs!B19+IF(ISBLANK(I17),Inputs!B24,I17)+Inputs!B25+Inputs!B39,MIN(Inputs!B27,0.08)+0.025))*Inputs!B29+Inputs!B28*Inputs!B30,I15)</f>
        <v>3.6811499999999997E-2</v>
      </c>
      <c r="J16" s="11">
        <f>MAX((MAX(Inputs!B18+((1-0.33)*J14*(1+(1-Inputs!B22)*Inputs!B21)+0.33)*Inputs!B19+IF(ISBLANK(J17),Inputs!B24,J17)+Inputs!B25+Inputs!B39,MIN(Inputs!B27,0.08)+0.025))*Inputs!B29+Inputs!B28*Inputs!B30,J15)</f>
        <v>3.6811499999999997E-2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/>
      <c r="G18" s="18"/>
      <c r="H18" s="18"/>
      <c r="I18" s="18"/>
      <c r="J18" s="18"/>
    </row>
    <row r="19" spans="1:10" ht="40" customHeight="1" x14ac:dyDescent="0.4">
      <c r="A19" s="17" t="s">
        <v>82</v>
      </c>
      <c r="C19" s="18" t="s">
        <v>83</v>
      </c>
      <c r="D19" s="18" t="s">
        <v>84</v>
      </c>
      <c r="E19" s="18" t="s">
        <v>85</v>
      </c>
      <c r="F19" s="18"/>
      <c r="G19" s="18"/>
      <c r="H19" s="18"/>
      <c r="I19" s="18"/>
      <c r="J19" s="18"/>
    </row>
    <row r="20" spans="1:10" ht="28" customHeight="1" x14ac:dyDescent="0.4">
      <c r="A20" s="17" t="s">
        <v>86</v>
      </c>
      <c r="C20" s="18" t="s">
        <v>87</v>
      </c>
      <c r="D20" s="18" t="s">
        <v>88</v>
      </c>
      <c r="E20" s="18" t="s">
        <v>89</v>
      </c>
      <c r="F20" s="18"/>
      <c r="G20" s="18"/>
      <c r="H20" s="18"/>
      <c r="I20" s="18"/>
      <c r="J20" s="18"/>
    </row>
    <row r="21" spans="1:10" x14ac:dyDescent="0.4">
      <c r="A21" s="4" t="s">
        <v>90</v>
      </c>
      <c r="C21" s="6">
        <f t="shared" ref="C21:J21" si="0">C5*(1+C6)^1</f>
        <v>92392.606915804819</v>
      </c>
      <c r="D21" s="6">
        <f t="shared" si="0"/>
        <v>88675.328499741692</v>
      </c>
      <c r="E21" s="6">
        <f t="shared" si="0"/>
        <v>9187.5600000000013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91</v>
      </c>
      <c r="C22" s="6">
        <f t="shared" ref="C22:J22" si="1">C5*(1+C6)^2</f>
        <v>98458.982845425882</v>
      </c>
      <c r="D22" s="6">
        <f t="shared" si="1"/>
        <v>93610.879577822619</v>
      </c>
      <c r="E22" s="6">
        <f t="shared" si="1"/>
        <v>9922.5648000000001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92</v>
      </c>
      <c r="C23" s="6">
        <f t="shared" ref="C23:J23" si="2">C5*(1+C6)^3</f>
        <v>104923.66896617535</v>
      </c>
      <c r="D23" s="6">
        <f t="shared" si="2"/>
        <v>98821.136877537865</v>
      </c>
      <c r="E23" s="6">
        <f t="shared" si="2"/>
        <v>10716.369984000001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93</v>
      </c>
      <c r="C24" s="6">
        <f t="shared" ref="C24:J24" si="3">C5*(1+C6)^4</f>
        <v>111812.81779649213</v>
      </c>
      <c r="D24" s="6">
        <f t="shared" si="3"/>
        <v>104321.39018254295</v>
      </c>
      <c r="E24" s="6">
        <f t="shared" si="3"/>
        <v>11573.679582720002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94</v>
      </c>
      <c r="C25" s="6">
        <f t="shared" ref="C25:J25" si="4">C5*(1+C6)^5</f>
        <v>119154.29899446139</v>
      </c>
      <c r="D25" s="6">
        <f t="shared" si="4"/>
        <v>110127.78028555623</v>
      </c>
      <c r="E25" s="6">
        <f t="shared" si="4"/>
        <v>12499.573949337602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95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96</v>
      </c>
      <c r="C27" s="11">
        <f t="shared" ref="C27:J27" si="5">IF(ISBLANK(C9),C7,C7+(C9-C7)*(0)/4)</f>
        <v>0.11899999999999999</v>
      </c>
      <c r="D27" s="11">
        <f t="shared" si="5"/>
        <v>9.3843438770238402E-2</v>
      </c>
      <c r="E27" s="11">
        <f t="shared" si="5"/>
        <v>0.41984343877023839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97</v>
      </c>
      <c r="C28" s="11">
        <f t="shared" ref="C28:J28" si="6">IF(ISBLANK(C9),C7,C7+(C9-C7)*(1)/4)</f>
        <v>0.1222108596925596</v>
      </c>
      <c r="D28" s="11">
        <f t="shared" si="6"/>
        <v>9.4093438770238402E-2</v>
      </c>
      <c r="E28" s="11">
        <f t="shared" si="6"/>
        <v>0.39488257907767876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98</v>
      </c>
      <c r="C29" s="11">
        <f t="shared" ref="C29:J29" si="7">IF(ISBLANK(C9),C7,C7+(C9-C7)*(2)/4)</f>
        <v>0.1254217193851192</v>
      </c>
      <c r="D29" s="11">
        <f t="shared" si="7"/>
        <v>9.4343438770238403E-2</v>
      </c>
      <c r="E29" s="11">
        <f t="shared" si="7"/>
        <v>0.3699217193851192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99</v>
      </c>
      <c r="C30" s="11">
        <f t="shared" ref="C30:J30" si="8">IF(ISBLANK(C9),C7,C7+(C9-C7)*(3)/4)</f>
        <v>0.1286325790776788</v>
      </c>
      <c r="D30" s="11">
        <f t="shared" si="8"/>
        <v>9.4593438770238403E-2</v>
      </c>
      <c r="E30" s="11">
        <f t="shared" si="8"/>
        <v>0.34496085969255963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100</v>
      </c>
      <c r="C31" s="11">
        <f t="shared" ref="C31:J31" si="9">IF(ISBLANK(C9),C7,C7+(C9-C7)*(4)/4)</f>
        <v>0.13184343877023841</v>
      </c>
      <c r="D31" s="11">
        <f t="shared" si="9"/>
        <v>9.4843438770238403E-2</v>
      </c>
      <c r="E31" s="11">
        <f t="shared" si="9"/>
        <v>0.32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101</v>
      </c>
      <c r="C33" s="6">
        <f t="shared" ref="C33:J37" si="10">C21*C27</f>
        <v>10994.720222980774</v>
      </c>
      <c r="D33" s="6">
        <f t="shared" si="10"/>
        <v>8321.5977604962864</v>
      </c>
      <c r="E33" s="6">
        <f t="shared" si="10"/>
        <v>3857.3367843078918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102</v>
      </c>
      <c r="C34" s="6">
        <f t="shared" si="10"/>
        <v>12032.756937994474</v>
      </c>
      <c r="D34" s="6">
        <f t="shared" si="10"/>
        <v>8808.1695657840137</v>
      </c>
      <c r="E34" s="6">
        <f t="shared" si="10"/>
        <v>3918.2479792893919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103</v>
      </c>
      <c r="C35" s="6">
        <f t="shared" si="10"/>
        <v>13159.706965932784</v>
      </c>
      <c r="D35" s="6">
        <f t="shared" si="10"/>
        <v>9323.1258762113412</v>
      </c>
      <c r="E35" s="6">
        <f t="shared" si="10"/>
        <v>3964.2180100483624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104</v>
      </c>
      <c r="C36" s="6">
        <f t="shared" si="10"/>
        <v>14382.771127105367</v>
      </c>
      <c r="D36" s="6">
        <f t="shared" si="10"/>
        <v>9868.1190346585263</v>
      </c>
      <c r="E36" s="6">
        <f t="shared" si="10"/>
        <v>3992.4664586613167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105</v>
      </c>
      <c r="C37" s="6">
        <f t="shared" si="10"/>
        <v>15709.712523686951</v>
      </c>
      <c r="D37" s="6">
        <f t="shared" si="10"/>
        <v>10444.897386415421</v>
      </c>
      <c r="E37" s="6">
        <f t="shared" si="10"/>
        <v>3999.8636637880327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106</v>
      </c>
      <c r="C39" s="6">
        <f>C33*(1-Inputs!B22)</f>
        <v>8125.0982447827919</v>
      </c>
      <c r="D39" s="6">
        <f>D33*(1-Inputs!B22)</f>
        <v>6149.6607450067559</v>
      </c>
      <c r="E39" s="6">
        <f>E33*(1-Inputs!B22)</f>
        <v>2850.5718836035321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107</v>
      </c>
      <c r="C40" s="6">
        <f>C34*(1-Inputs!B22)</f>
        <v>8892.207377177916</v>
      </c>
      <c r="D40" s="6">
        <f>D34*(1-Inputs!B22)</f>
        <v>6509.2373091143863</v>
      </c>
      <c r="E40" s="6">
        <f>E34*(1-Inputs!B22)</f>
        <v>2895.5852566948606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108</v>
      </c>
      <c r="C41" s="6">
        <f>C35*(1-Inputs!B22)</f>
        <v>9725.0234478243274</v>
      </c>
      <c r="D41" s="6">
        <f>D35*(1-Inputs!B22)</f>
        <v>6889.7900225201811</v>
      </c>
      <c r="E41" s="6">
        <f>E35*(1-Inputs!B22)</f>
        <v>2929.5571094257398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109</v>
      </c>
      <c r="C42" s="6">
        <f>C36*(1-Inputs!B22)</f>
        <v>10628.867862930865</v>
      </c>
      <c r="D42" s="6">
        <f>D36*(1-Inputs!B22)</f>
        <v>7292.5399666126505</v>
      </c>
      <c r="E42" s="6">
        <f>E36*(1-Inputs!B22)</f>
        <v>2950.4327129507128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110</v>
      </c>
      <c r="C43" s="6">
        <f>C37*(1-Inputs!B22)</f>
        <v>11609.477555004656</v>
      </c>
      <c r="D43" s="6">
        <f>D37*(1-Inputs!B22)</f>
        <v>7718.7791685609964</v>
      </c>
      <c r="E43" s="6">
        <f>E37*(1-Inputs!B22)</f>
        <v>2955.8992475393561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111</v>
      </c>
      <c r="C45" s="6">
        <f t="shared" ref="C45:J45" si="11">C21*IF(ISBLANK(C26),C12,C12+(C26-C12)*(0)/4)</f>
        <v>184.78521383160964</v>
      </c>
      <c r="D45" s="6">
        <f t="shared" si="11"/>
        <v>177.35065699948339</v>
      </c>
      <c r="E45" s="6">
        <f t="shared" si="11"/>
        <v>45.93780000000001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112</v>
      </c>
      <c r="C46" s="6">
        <f t="shared" ref="C46:J46" si="12">C22*IF(ISBLANK(C26),C12,C12+(C26-C12)*(1)/4)</f>
        <v>196.91796569085176</v>
      </c>
      <c r="D46" s="6">
        <f t="shared" si="12"/>
        <v>187.22175915564523</v>
      </c>
      <c r="E46" s="6">
        <f t="shared" si="12"/>
        <v>49.612824000000003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113</v>
      </c>
      <c r="C47" s="6">
        <f t="shared" ref="C47:J47" si="13">C23*IF(ISBLANK(C26),C12,C12+(C26-C12)*(2)/4)</f>
        <v>209.84733793235071</v>
      </c>
      <c r="D47" s="6">
        <f t="shared" si="13"/>
        <v>197.64227375507573</v>
      </c>
      <c r="E47" s="6">
        <f t="shared" si="13"/>
        <v>53.581849920000003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114</v>
      </c>
      <c r="C48" s="6">
        <f t="shared" ref="C48:J48" si="14">C24*IF(ISBLANK(C26),C12,C12+(C26-C12)*(3)/4)</f>
        <v>223.62563559298428</v>
      </c>
      <c r="D48" s="6">
        <f t="shared" si="14"/>
        <v>208.64278036508591</v>
      </c>
      <c r="E48" s="6">
        <f t="shared" si="14"/>
        <v>57.868397913600013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115</v>
      </c>
      <c r="C49" s="6">
        <f t="shared" ref="C49:J49" si="15">C25*IF(ISBLANK(C26),C12,C12+(C26-C12)*(4)/4)</f>
        <v>238.3085979889228</v>
      </c>
      <c r="D49" s="6">
        <f t="shared" si="15"/>
        <v>220.25556057111248</v>
      </c>
      <c r="E49" s="6">
        <f t="shared" si="15"/>
        <v>62.497869746688011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116</v>
      </c>
      <c r="C51" s="6">
        <f t="shared" ref="C51:J55" si="16">C39-C45</f>
        <v>7940.3130309511826</v>
      </c>
      <c r="D51" s="6">
        <f t="shared" si="16"/>
        <v>5972.3100880072725</v>
      </c>
      <c r="E51" s="6">
        <f t="shared" si="16"/>
        <v>2804.634083603532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117</v>
      </c>
      <c r="C52" s="6">
        <f t="shared" si="16"/>
        <v>8695.2894114870651</v>
      </c>
      <c r="D52" s="6">
        <f t="shared" si="16"/>
        <v>6322.0155499587408</v>
      </c>
      <c r="E52" s="6">
        <f t="shared" si="16"/>
        <v>2845.9724326948608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118</v>
      </c>
      <c r="C53" s="6">
        <f t="shared" si="16"/>
        <v>9515.176109891976</v>
      </c>
      <c r="D53" s="6">
        <f t="shared" si="16"/>
        <v>6692.1477487651055</v>
      </c>
      <c r="E53" s="6">
        <f t="shared" si="16"/>
        <v>2875.9752595057398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119</v>
      </c>
      <c r="C54" s="6">
        <f t="shared" si="16"/>
        <v>10405.242227337882</v>
      </c>
      <c r="D54" s="6">
        <f t="shared" si="16"/>
        <v>7083.8971862475646</v>
      </c>
      <c r="E54" s="6">
        <f t="shared" si="16"/>
        <v>2892.5643150371129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120</v>
      </c>
      <c r="C55" s="6">
        <f t="shared" si="16"/>
        <v>11371.168957015734</v>
      </c>
      <c r="D55" s="6">
        <f t="shared" si="16"/>
        <v>7498.5236079898841</v>
      </c>
      <c r="E55" s="6">
        <f t="shared" si="16"/>
        <v>2893.401377792668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121</v>
      </c>
      <c r="C57" s="6">
        <f t="shared" ref="C57:J57" si="17">C51/((1+C16))</f>
        <v>7568.707524382964</v>
      </c>
      <c r="D57" s="6">
        <f t="shared" si="17"/>
        <v>5692.8068358073324</v>
      </c>
      <c r="E57" s="6">
        <f t="shared" si="17"/>
        <v>2671.1371002069404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122</v>
      </c>
      <c r="C58" s="6">
        <f t="shared" ref="C58:J58" si="18">C52/((1+C16)*(1+C16+(C104-C16)*1/5))</f>
        <v>7862.2605954472583</v>
      </c>
      <c r="D58" s="6">
        <f t="shared" si="18"/>
        <v>5716.3518532898206</v>
      </c>
      <c r="E58" s="6">
        <f t="shared" si="18"/>
        <v>2569.4492028803675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123</v>
      </c>
      <c r="C59" s="6">
        <f t="shared" ref="C59:J59" si="19">C53/((1+C16)*(1+C16+(C104-C16)*1/5)*(1+C16+(C104-C16)*2/5))</f>
        <v>8122.0351285066254</v>
      </c>
      <c r="D59" s="6">
        <f t="shared" si="19"/>
        <v>5712.3334842032455</v>
      </c>
      <c r="E59" s="6">
        <f t="shared" si="19"/>
        <v>2449.9810315433833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124</v>
      </c>
      <c r="C60" s="6">
        <f t="shared" ref="C60:J60" si="20">C54/((1+C16)*(1+C16+(C104-C16)*1/5)*(1+C16+(C104-C16)*2/5)*(1+C16+(C104-C16)*3/5))</f>
        <v>8344.4990157581069</v>
      </c>
      <c r="D60" s="6">
        <f t="shared" si="20"/>
        <v>5680.9415683826674</v>
      </c>
      <c r="E60" s="6">
        <f t="shared" si="20"/>
        <v>2314.2860924330339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125</v>
      </c>
      <c r="C61" s="6">
        <f t="shared" ref="C61:J61" si="21">C55/((1+C16)*(1+C16+(C104-C16)*1/5)*(1+C16+(C104-C16)*2/5)*(1+C16+(C104-C16)*3/5)*(1+C16+(C104-C16)*4/5))</f>
        <v>8526.6529034161267</v>
      </c>
      <c r="D61" s="6">
        <f t="shared" si="21"/>
        <v>5622.7559659953477</v>
      </c>
      <c r="E61" s="6">
        <f t="shared" si="21"/>
        <v>2164.1962636565049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126</v>
      </c>
    </row>
    <row r="63" spans="1:10" x14ac:dyDescent="0.4">
      <c r="A63" s="4" t="s">
        <v>127</v>
      </c>
      <c r="C63" s="6">
        <f t="shared" ref="C63:J63" si="22">C25*(1+(C6+(C13-C6)*1/5))</f>
        <v>125996.34371485194</v>
      </c>
      <c r="D63" s="6">
        <f t="shared" si="22"/>
        <v>115570.48453933506</v>
      </c>
      <c r="E63" s="6">
        <f t="shared" si="22"/>
        <v>13385.728510723338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128</v>
      </c>
      <c r="C64" s="6">
        <f t="shared" ref="C64:J64" si="23">C63*(1+(C6+(C13-C6)*2/5))</f>
        <v>132193.44441675945</v>
      </c>
      <c r="D64" s="6">
        <f t="shared" si="23"/>
        <v>120561.36888850144</v>
      </c>
      <c r="E64" s="6">
        <f t="shared" si="23"/>
        <v>14212.826820278247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129</v>
      </c>
      <c r="C65" s="6">
        <f t="shared" ref="C65:J65" si="24">C64*(1+(C6+(C13-C6)*3/5))</f>
        <v>137606.4768484385</v>
      </c>
      <c r="D65" s="6">
        <f t="shared" si="24"/>
        <v>125015.84779198436</v>
      </c>
      <c r="E65" s="6">
        <f t="shared" si="24"/>
        <v>14961.620275942376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130</v>
      </c>
      <c r="C66" s="6">
        <f t="shared" ref="C66:J66" si="25">C65*(1+(C6+(C13-C6)*4/5))</f>
        <v>142107.70300541521</v>
      </c>
      <c r="D66" s="6">
        <f t="shared" si="25"/>
        <v>128855.19195287037</v>
      </c>
      <c r="E66" s="6">
        <f t="shared" si="25"/>
        <v>15613.634598684181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131</v>
      </c>
      <c r="C67" s="6">
        <f t="shared" ref="C67:J67" si="26">C66*(1+(C6+(C13-C6)*5/5))</f>
        <v>145585.6336362577</v>
      </c>
      <c r="D67" s="6">
        <f t="shared" si="26"/>
        <v>132008.78186783014</v>
      </c>
      <c r="E67" s="6">
        <f t="shared" si="26"/>
        <v>16151.897577366481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132</v>
      </c>
      <c r="C69" s="11">
        <f t="shared" ref="C69:J69" si="27">IF(ISBLANK(C9),C7,C9)</f>
        <v>0.13184343877023841</v>
      </c>
      <c r="D69" s="11">
        <f t="shared" si="27"/>
        <v>9.4843438770238403E-2</v>
      </c>
      <c r="E69" s="11">
        <f t="shared" si="27"/>
        <v>0.32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133</v>
      </c>
      <c r="C70" s="11">
        <f t="shared" ref="C70:J70" si="28">IF(ISBLANK(C9),C7,C9)</f>
        <v>0.13184343877023841</v>
      </c>
      <c r="D70" s="11">
        <f t="shared" si="28"/>
        <v>9.4843438770238403E-2</v>
      </c>
      <c r="E70" s="11">
        <f t="shared" si="28"/>
        <v>0.32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134</v>
      </c>
      <c r="C71" s="11">
        <f t="shared" ref="C71:J71" si="29">IF(ISBLANK(C9),C7,C9)</f>
        <v>0.13184343877023841</v>
      </c>
      <c r="D71" s="11">
        <f t="shared" si="29"/>
        <v>9.4843438770238403E-2</v>
      </c>
      <c r="E71" s="11">
        <f t="shared" si="29"/>
        <v>0.32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135</v>
      </c>
      <c r="C72" s="11">
        <f t="shared" ref="C72:J72" si="30">IF(ISBLANK(C9),C7,C9)</f>
        <v>0.13184343877023841</v>
      </c>
      <c r="D72" s="11">
        <f t="shared" si="30"/>
        <v>9.4843438770238403E-2</v>
      </c>
      <c r="E72" s="11">
        <f t="shared" si="30"/>
        <v>0.32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136</v>
      </c>
      <c r="C73" s="11">
        <f t="shared" ref="C73:J73" si="31">IF(ISBLANK(C9),C7,C9)</f>
        <v>0.13184343877023841</v>
      </c>
      <c r="D73" s="11">
        <f t="shared" si="31"/>
        <v>9.4843438770238403E-2</v>
      </c>
      <c r="E73" s="11">
        <f t="shared" si="31"/>
        <v>0.32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137</v>
      </c>
      <c r="C75" s="6">
        <f t="shared" ref="C75:J79" si="32">C63*C69</f>
        <v>16611.791227842994</v>
      </c>
      <c r="D75" s="6">
        <f t="shared" si="32"/>
        <v>10961.102174053209</v>
      </c>
      <c r="E75" s="6">
        <f t="shared" si="32"/>
        <v>4283.4331234314686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138</v>
      </c>
      <c r="C76" s="6">
        <f t="shared" si="32"/>
        <v>17428.83829478794</v>
      </c>
      <c r="D76" s="6">
        <f t="shared" si="32"/>
        <v>11434.454808232711</v>
      </c>
      <c r="E76" s="6">
        <f t="shared" si="32"/>
        <v>4548.1045824890389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139</v>
      </c>
      <c r="C77" s="6">
        <f t="shared" si="32"/>
        <v>18142.511104755329</v>
      </c>
      <c r="D77" s="6">
        <f t="shared" si="32"/>
        <v>11856.932905368512</v>
      </c>
      <c r="E77" s="6">
        <f t="shared" si="32"/>
        <v>4787.7184883015607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140</v>
      </c>
      <c r="C78" s="6">
        <f t="shared" si="32"/>
        <v>18735.968239973685</v>
      </c>
      <c r="D78" s="6">
        <f t="shared" si="32"/>
        <v>12221.069508209377</v>
      </c>
      <c r="E78" s="6">
        <f t="shared" si="32"/>
        <v>4996.3630715789377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141</v>
      </c>
      <c r="C79" s="6">
        <f t="shared" si="32"/>
        <v>19194.510574148302</v>
      </c>
      <c r="D79" s="6">
        <f t="shared" si="32"/>
        <v>12520.166820215305</v>
      </c>
      <c r="E79" s="6">
        <f t="shared" si="32"/>
        <v>5168.6072247572738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142</v>
      </c>
      <c r="C81" s="6">
        <f>C75*(1-Inputs!B22)</f>
        <v>12276.113717375973</v>
      </c>
      <c r="D81" s="6">
        <f>D75*(1-Inputs!B22)</f>
        <v>8100.2545066253215</v>
      </c>
      <c r="E81" s="6">
        <f>E75*(1-Inputs!B22)</f>
        <v>3165.4570782158553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143</v>
      </c>
      <c r="C82" s="6">
        <f>C76*(1-Inputs!B22)</f>
        <v>12879.911499848287</v>
      </c>
      <c r="D82" s="6">
        <f>D76*(1-Inputs!B22)</f>
        <v>8450.0621032839736</v>
      </c>
      <c r="E82" s="6">
        <f>E76*(1-Inputs!B22)</f>
        <v>3361.0492864593998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144</v>
      </c>
      <c r="C83" s="6">
        <f>C77*(1-Inputs!B22)</f>
        <v>13407.315706414189</v>
      </c>
      <c r="D83" s="6">
        <f>D77*(1-Inputs!B22)</f>
        <v>8762.2734170673302</v>
      </c>
      <c r="E83" s="6">
        <f>E77*(1-Inputs!B22)</f>
        <v>3538.1239628548533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145</v>
      </c>
      <c r="C84" s="6">
        <f>C78*(1-Inputs!B22)</f>
        <v>13845.880529340553</v>
      </c>
      <c r="D84" s="6">
        <f>D78*(1-Inputs!B22)</f>
        <v>9031.370366566729</v>
      </c>
      <c r="E84" s="6">
        <f>E78*(1-Inputs!B22)</f>
        <v>3692.3123098968349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146</v>
      </c>
      <c r="C85" s="6">
        <f>C79*(1-Inputs!B22)</f>
        <v>14184.743314295594</v>
      </c>
      <c r="D85" s="6">
        <f>D79*(1-Inputs!B22)</f>
        <v>9252.4032801391095</v>
      </c>
      <c r="E85" s="6">
        <f>E79*(1-Inputs!B22)</f>
        <v>3819.6007390956252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147</v>
      </c>
      <c r="C87" s="6">
        <f t="shared" ref="C87:J87" si="33">C63*MAX(IF(ISBLANK(C26),C12,C26),0)</f>
        <v>251.99268742970389</v>
      </c>
      <c r="D87" s="6">
        <f t="shared" si="33"/>
        <v>231.14096907867011</v>
      </c>
      <c r="E87" s="6">
        <f t="shared" si="33"/>
        <v>66.928642553616697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148</v>
      </c>
      <c r="C88" s="6">
        <f t="shared" ref="C88:J88" si="34">C64*MAX(IF(ISBLANK(C26),C12,C26),0)</f>
        <v>264.38688883351892</v>
      </c>
      <c r="D88" s="6">
        <f t="shared" si="34"/>
        <v>241.1227377770029</v>
      </c>
      <c r="E88" s="6">
        <f t="shared" si="34"/>
        <v>71.064134101391232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149</v>
      </c>
      <c r="C89" s="6">
        <f t="shared" ref="C89:J89" si="35">C65*MAX(IF(ISBLANK(C26),C12,C26),0)</f>
        <v>275.21295369687698</v>
      </c>
      <c r="D89" s="6">
        <f t="shared" si="35"/>
        <v>250.03169558396871</v>
      </c>
      <c r="E89" s="6">
        <f t="shared" si="35"/>
        <v>74.808101379711886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150</v>
      </c>
      <c r="C90" s="6">
        <f t="shared" ref="C90:J90" si="36">C66*MAX(IF(ISBLANK(C26),C12,C26),0)</f>
        <v>284.21540601083041</v>
      </c>
      <c r="D90" s="6">
        <f t="shared" si="36"/>
        <v>257.71038390574074</v>
      </c>
      <c r="E90" s="6">
        <f t="shared" si="36"/>
        <v>78.068172993420902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151</v>
      </c>
      <c r="C91" s="6">
        <f t="shared" ref="C91:J91" si="37">C67*MAX(IF(ISBLANK(C26),C12,C26),0)</f>
        <v>291.17126727251542</v>
      </c>
      <c r="D91" s="6">
        <f t="shared" si="37"/>
        <v>264.0175637356603</v>
      </c>
      <c r="E91" s="6">
        <f t="shared" si="37"/>
        <v>80.759487886832403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152</v>
      </c>
      <c r="C93" s="6">
        <f t="shared" ref="C93:J97" si="38">C81-C87</f>
        <v>12024.121029946269</v>
      </c>
      <c r="D93" s="6">
        <f t="shared" si="38"/>
        <v>7869.1135375466511</v>
      </c>
      <c r="E93" s="6">
        <f t="shared" si="38"/>
        <v>3098.5284356622387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153</v>
      </c>
      <c r="C94" s="6">
        <f t="shared" si="38"/>
        <v>12615.524611014769</v>
      </c>
      <c r="D94" s="6">
        <f t="shared" si="38"/>
        <v>8208.9393655069707</v>
      </c>
      <c r="E94" s="6">
        <f t="shared" si="38"/>
        <v>3289.9851523580087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154</v>
      </c>
      <c r="C95" s="6">
        <f t="shared" si="38"/>
        <v>13132.102752717312</v>
      </c>
      <c r="D95" s="6">
        <f t="shared" si="38"/>
        <v>8512.2417214833622</v>
      </c>
      <c r="E95" s="6">
        <f t="shared" si="38"/>
        <v>3463.3158614751414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155</v>
      </c>
      <c r="C96" s="6">
        <f t="shared" si="38"/>
        <v>13561.665123329723</v>
      </c>
      <c r="D96" s="6">
        <f t="shared" si="38"/>
        <v>8773.659982660989</v>
      </c>
      <c r="E96" s="6">
        <f t="shared" si="38"/>
        <v>3614.2441369034141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156</v>
      </c>
      <c r="C97" s="6">
        <f t="shared" si="38"/>
        <v>13893.572047023079</v>
      </c>
      <c r="D97" s="6">
        <f t="shared" si="38"/>
        <v>8988.3857164034489</v>
      </c>
      <c r="E97" s="6">
        <f t="shared" si="38"/>
        <v>3738.8412512087925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157</v>
      </c>
      <c r="C99" s="6">
        <f t="shared" ref="C99:J99" si="39">C93/(((1+C16)*(1+C16+(C104-C16)*1/5)*(1+C16+(C104-C16)*2/5)*(1+C16+(C104-C16)*3/5)*(1+C16+(C104-C16)*4/5))*(1+C104)^1)</f>
        <v>8390.49208546509</v>
      </c>
      <c r="D99" s="6">
        <f t="shared" si="39"/>
        <v>5491.1069750523302</v>
      </c>
      <c r="E99" s="6">
        <f t="shared" si="39"/>
        <v>2156.7711531460172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158</v>
      </c>
      <c r="C100" s="6">
        <f t="shared" ref="C100:J100" si="40">C94/(((1+C16)*(1+C16+(C104-C16)*1/5)*(1+C16+(C104-C16)*2/5)*(1+C16+(C104-C16)*3/5)*(1+C16+(C104-C16)*4/5))*(1+C104)^2)</f>
        <v>8192.1902464674604</v>
      </c>
      <c r="D100" s="6">
        <f t="shared" si="40"/>
        <v>5330.6695581436934</v>
      </c>
      <c r="E100" s="6">
        <f t="shared" si="40"/>
        <v>2131.0966148113862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159</v>
      </c>
      <c r="C101" s="6">
        <f t="shared" ref="C101:J101" si="41">C95/(((1+C16)*(1+C16+(C104-C16)*1/5)*(1+C16+(C104-C16)*2/5)*(1+C16+(C104-C16)*3/5)*(1+C16+(C104-C16)*4/5))*(1+C104)^3)</f>
        <v>7935.7797795220758</v>
      </c>
      <c r="D101" s="6">
        <f t="shared" si="41"/>
        <v>5143.980138121753</v>
      </c>
      <c r="E101" s="6">
        <f t="shared" si="41"/>
        <v>2087.6703549063145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160</v>
      </c>
      <c r="C102" s="6">
        <f t="shared" ref="C102:J102" si="42">C96/(((1+C16)*(1+C16+(C104-C16)*1/5)*(1+C16+(C104-C16)*2/5)*(1+C16+(C104-C16)*3/5)*(1+C16+(C104-C16)*4/5))*(1+C104)^4)</f>
        <v>7626.5649393004569</v>
      </c>
      <c r="D102" s="6">
        <f t="shared" si="42"/>
        <v>4933.9728569169229</v>
      </c>
      <c r="E102" s="6">
        <f t="shared" si="42"/>
        <v>2027.4396174567203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161</v>
      </c>
      <c r="C103" s="6">
        <f t="shared" ref="C103:J103" si="43">C97/(((1+C16)*(1+C16+(C104-C16)*1/5)*(1+C16+(C104-C16)*2/5)*(1+C16+(C104-C16)*3/5)*(1+C16+(C104-C16)*4/5))*(1+C104)^5)</f>
        <v>7270.938897795093</v>
      </c>
      <c r="D103" s="6">
        <f t="shared" si="43"/>
        <v>4703.9021435662253</v>
      </c>
      <c r="E103" s="6">
        <f t="shared" si="43"/>
        <v>1951.7675369335011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162</v>
      </c>
      <c r="C104" s="11">
        <f>MAX((Inputs!B18+((1+(1-Inputs!B22)*(Inputs!B36/(1-Inputs!B36)))/(1+(1-Inputs!B22)*0.25))*Inputs!B19+IF(ISBLANK(C17),Inputs!B24,C17)+Inputs!B25+Inputs!B39)*(1-Inputs!B36)+Inputs!B38*Inputs!B36,C15)</f>
        <v>7.4581548005908438E-2</v>
      </c>
      <c r="D104" s="11">
        <f>MAX((Inputs!B18+((1+(1-Inputs!B22)*(Inputs!B36/(1-Inputs!B36)))/(1+(1-Inputs!B22)*0.25))*Inputs!B19+IF(ISBLANK(D17),Inputs!B24,D17)+Inputs!B25+Inputs!B39)*(1-Inputs!B36)+Inputs!B38*Inputs!B36,D15)</f>
        <v>7.4581548005908438E-2</v>
      </c>
      <c r="E104" s="11">
        <f>MAX((Inputs!B18+((1+(1-Inputs!B22)*(Inputs!B36/(1-Inputs!B36)))/(1+(1-Inputs!B22)*0.25))*Inputs!B19+IF(ISBLANK(E17),Inputs!B24,E17)+Inputs!B25+Inputs!B39)*(1-Inputs!B36)+Inputs!B38*Inputs!B36,E15)</f>
        <v>7.4581548005908438E-2</v>
      </c>
      <c r="F104" s="11">
        <f>MAX((Inputs!B18+((1+(1-Inputs!B22)*(Inputs!B36/(1-Inputs!B36)))/(1+(1-Inputs!B22)*0.25))*Inputs!B19+IF(ISBLANK(F17),Inputs!B24,F17)+Inputs!B25+Inputs!B39)*(1-Inputs!B36)+Inputs!B38*Inputs!B36,F15)</f>
        <v>7.4581548005908438E-2</v>
      </c>
      <c r="G104" s="11">
        <f>MAX((Inputs!B18+((1+(1-Inputs!B22)*(Inputs!B36/(1-Inputs!B36)))/(1+(1-Inputs!B22)*0.25))*Inputs!B19+IF(ISBLANK(G17),Inputs!B24,G17)+Inputs!B25+Inputs!B39)*(1-Inputs!B36)+Inputs!B38*Inputs!B36,G15)</f>
        <v>7.4581548005908438E-2</v>
      </c>
      <c r="H104" s="11">
        <f>MAX((Inputs!B18+((1+(1-Inputs!B22)*(Inputs!B36/(1-Inputs!B36)))/(1+(1-Inputs!B22)*0.25))*Inputs!B19+IF(ISBLANK(H17),Inputs!B24,H17)+Inputs!B25+Inputs!B39)*(1-Inputs!B36)+Inputs!B38*Inputs!B36,H15)</f>
        <v>7.4581548005908438E-2</v>
      </c>
      <c r="I104" s="11">
        <f>MAX((Inputs!B18+((1+(1-Inputs!B22)*(Inputs!B36/(1-Inputs!B36)))/(1+(1-Inputs!B22)*0.25))*Inputs!B19+IF(ISBLANK(I17),Inputs!B24,I17)+Inputs!B25+Inputs!B39)*(1-Inputs!B36)+Inputs!B38*Inputs!B36,I15)</f>
        <v>7.4581548005908438E-2</v>
      </c>
      <c r="J104" s="11">
        <f>MAX((Inputs!B18+((1+(1-Inputs!B22)*(Inputs!B36/(1-Inputs!B36)))/(1+(1-Inputs!B22)*0.25))*Inputs!B19+IF(ISBLANK(J17),Inputs!B24,J17)+Inputs!B25+Inputs!B39)*(1-Inputs!B36)+Inputs!B38*Inputs!B36,J15)</f>
        <v>7.4581548005908438E-2</v>
      </c>
    </row>
    <row r="105" spans="1:11" x14ac:dyDescent="0.4">
      <c r="A105" s="4" t="s">
        <v>163</v>
      </c>
      <c r="C105" s="6">
        <f t="shared" ref="C105:J105" si="44">SUM(C57:C61,C99:C103)</f>
        <v>79840.121116061244</v>
      </c>
      <c r="D105" s="6">
        <f t="shared" si="44"/>
        <v>54028.821379479341</v>
      </c>
      <c r="E105" s="6">
        <f t="shared" si="44"/>
        <v>22523.794967974165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164</v>
      </c>
      <c r="C106" s="6">
        <f t="shared" ref="C106:J106" si="45">IF(C5=0,0,C97*(1+C13)/(C104-C13))</f>
        <v>284060.50636338262</v>
      </c>
      <c r="D106" s="6">
        <f t="shared" si="45"/>
        <v>183771.70315520358</v>
      </c>
      <c r="E106" s="6">
        <f t="shared" si="45"/>
        <v>96433.835694765585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165</v>
      </c>
      <c r="C107" s="6">
        <f t="shared" ref="C107:J107" si="46">C106/(((1+C16)*(1+C16+(C104-C16)*1/5)*(1+C16+(C104-C16)*2/5)*(1+C16+(C104-C16)*3/5)*(1+C16+(C104-C16)*4/5))*(1+C104)^5)</f>
        <v>148657.70861910429</v>
      </c>
      <c r="D107" s="6">
        <f t="shared" si="46"/>
        <v>96173.454908705331</v>
      </c>
      <c r="E107" s="6">
        <f t="shared" si="46"/>
        <v>50340.845552126862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166</v>
      </c>
      <c r="C109" s="20">
        <f t="shared" ref="C109:J109" si="47">C105+C107</f>
        <v>228497.82973516552</v>
      </c>
      <c r="D109" s="20">
        <f t="shared" si="47"/>
        <v>150202.27628818469</v>
      </c>
      <c r="E109" s="20">
        <f t="shared" si="47"/>
        <v>72864.640520101035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451564.74654345121</v>
      </c>
    </row>
    <row r="110" spans="1:11" x14ac:dyDescent="0.4">
      <c r="A110" s="4" t="s">
        <v>167</v>
      </c>
      <c r="K110" s="11">
        <f>IFERROR(SUMPRODUCT(C109:J109,C16:J16)/SUM(C109:J109),0)</f>
        <v>4.92396094222224E-2</v>
      </c>
    </row>
    <row r="111" spans="1:11" x14ac:dyDescent="0.4">
      <c r="A111" s="4" t="s">
        <v>168</v>
      </c>
      <c r="K111" s="5">
        <v>43592</v>
      </c>
    </row>
    <row r="112" spans="1:11" x14ac:dyDescent="0.4">
      <c r="A112" s="4" t="s">
        <v>169</v>
      </c>
      <c r="K112" s="5">
        <v>700</v>
      </c>
    </row>
    <row r="113" spans="1:11" x14ac:dyDescent="0.4">
      <c r="A113" s="4" t="s">
        <v>170</v>
      </c>
      <c r="K113" s="5">
        <v>-10338.831418143151</v>
      </c>
    </row>
    <row r="114" spans="1:11" x14ac:dyDescent="0.4">
      <c r="A114" s="4" t="s">
        <v>171</v>
      </c>
      <c r="K114" s="5">
        <v>0</v>
      </c>
    </row>
    <row r="115" spans="1:11" x14ac:dyDescent="0.4">
      <c r="A115" s="4" t="s">
        <v>172</v>
      </c>
      <c r="K115" s="5">
        <v>0</v>
      </c>
    </row>
    <row r="116" spans="1:11" x14ac:dyDescent="0.4">
      <c r="A116" s="4" t="s">
        <v>173</v>
      </c>
      <c r="K116" s="5">
        <v>-165</v>
      </c>
    </row>
    <row r="117" spans="1:11" x14ac:dyDescent="0.4">
      <c r="A117" s="4" t="s">
        <v>174</v>
      </c>
      <c r="K117" s="5">
        <v>0</v>
      </c>
    </row>
    <row r="118" spans="1:11" x14ac:dyDescent="0.4">
      <c r="A118" s="4" t="s">
        <v>175</v>
      </c>
      <c r="K118" s="5">
        <v>0</v>
      </c>
    </row>
    <row r="119" spans="1:11" x14ac:dyDescent="0.4">
      <c r="A119" s="4" t="s">
        <v>176</v>
      </c>
      <c r="K119" s="20">
        <f>K109+K113+K114+K115+K116+K117+K118-K111-K112</f>
        <v>396768.91512530803</v>
      </c>
    </row>
    <row r="120" spans="1:11" x14ac:dyDescent="0.4">
      <c r="A120" s="4" t="s">
        <v>177</v>
      </c>
      <c r="K120" s="6">
        <f>Inputs!B11</f>
        <v>388.4</v>
      </c>
    </row>
    <row r="122" spans="1:11" ht="15.9" customHeight="1" x14ac:dyDescent="0.45">
      <c r="A122" s="4" t="s">
        <v>178</v>
      </c>
      <c r="K122" s="21">
        <f>K119/K120</f>
        <v>1021.5471553174769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180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86700</v>
      </c>
      <c r="D5" s="5">
        <v>84000</v>
      </c>
      <c r="E5" s="5">
        <v>8507</v>
      </c>
      <c r="F5" s="5"/>
      <c r="G5" s="5"/>
      <c r="H5" s="5"/>
      <c r="I5" s="5"/>
      <c r="J5" s="5"/>
    </row>
    <row r="6" spans="1:11" x14ac:dyDescent="0.4">
      <c r="A6" s="4" t="s">
        <v>66</v>
      </c>
      <c r="C6" s="7">
        <v>3.4341327384027592E-2</v>
      </c>
      <c r="D6" s="7">
        <v>2.434132738402759E-2</v>
      </c>
      <c r="E6" s="7">
        <v>3.4341327384027592E-2</v>
      </c>
      <c r="F6" s="7"/>
      <c r="G6" s="7"/>
      <c r="H6" s="7"/>
      <c r="I6" s="7"/>
      <c r="J6" s="7"/>
    </row>
    <row r="7" spans="1:11" x14ac:dyDescent="0.4">
      <c r="A7" s="4" t="s">
        <v>67</v>
      </c>
      <c r="C7" s="7">
        <v>7.8999999999999987E-2</v>
      </c>
      <c r="D7" s="7">
        <v>5.7000000000000002E-2</v>
      </c>
      <c r="E7" s="7">
        <v>0.36299999999999999</v>
      </c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0.104</v>
      </c>
      <c r="D8" s="15">
        <v>6.7000000000000004E-2</v>
      </c>
      <c r="E8" s="15">
        <v>0.39300000000000002</v>
      </c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7.3682654768055189E-2</v>
      </c>
      <c r="D9" s="7">
        <v>3.6682654768055198E-2</v>
      </c>
      <c r="E9" s="7">
        <v>0.2686826547680552</v>
      </c>
      <c r="F9" s="7"/>
      <c r="G9" s="7"/>
      <c r="H9" s="7"/>
      <c r="I9" s="7"/>
      <c r="J9" s="7"/>
    </row>
    <row r="10" spans="1:11" x14ac:dyDescent="0.4">
      <c r="A10" s="4" t="s">
        <v>70</v>
      </c>
      <c r="C10" s="7">
        <v>5.0000000000000001E-3</v>
      </c>
      <c r="D10" s="7">
        <v>5.0000000000000001E-3</v>
      </c>
      <c r="E10" s="7">
        <v>0.01</v>
      </c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3.0000000000000001E-3</v>
      </c>
      <c r="D11" s="7">
        <v>3.0000000000000001E-3</v>
      </c>
      <c r="E11" s="7">
        <v>0.01</v>
      </c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2E-3</v>
      </c>
      <c r="D12" s="7">
        <v>2E-3</v>
      </c>
      <c r="E12" s="7">
        <v>5.0000000000000001E-3</v>
      </c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1.3289140307440399E-2</v>
      </c>
      <c r="D13" s="7">
        <v>1.3289140307440399E-2</v>
      </c>
      <c r="E13" s="7">
        <v>2.3289140307440399E-2</v>
      </c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0.45800000000000002</v>
      </c>
      <c r="D14" s="9">
        <v>0.45800000000000002</v>
      </c>
      <c r="E14" s="9">
        <v>0.48662499999999997</v>
      </c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>
        <v>0</v>
      </c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4.909761744275E-2</v>
      </c>
      <c r="D16" s="11">
        <f>MAX((MAX(Inputs!B18+((1-0.33)*D14*(1+(1-Inputs!B22)*Inputs!B21)+0.33)*Inputs!B19+IF(ISBLANK(D17),Inputs!B24,D17)+Inputs!B25+Inputs!B39,MIN(Inputs!B27,0.08)+0.025))*Inputs!B29+Inputs!B28*Inputs!B30,D15)</f>
        <v>4.909761744275E-2</v>
      </c>
      <c r="E16" s="11">
        <f>MAX((MAX(Inputs!B18+((1-0.33)*E14*(1+(1-Inputs!B22)*Inputs!B21)+0.33)*Inputs!B19+IF(ISBLANK(E17),Inputs!B24,E17)+Inputs!B25+Inputs!B39,MIN(Inputs!B27,0.08)+0.025))*Inputs!B29+Inputs!B28*Inputs!B30,E15)</f>
        <v>4.997758572042188E-2</v>
      </c>
      <c r="F16" s="11">
        <f>MAX((MAX(Inputs!B18+((1-0.33)*F14*(1+(1-Inputs!B22)*Inputs!B21)+0.33)*Inputs!B19+IF(ISBLANK(F17),Inputs!B24,F17)+Inputs!B25+Inputs!B39,MIN(Inputs!B27,0.08)+0.025))*Inputs!B29+Inputs!B28*Inputs!B30,F15)</f>
        <v>3.6811499999999997E-2</v>
      </c>
      <c r="G16" s="11">
        <f>MAX((MAX(Inputs!B18+((1-0.33)*G14*(1+(1-Inputs!B22)*Inputs!B21)+0.33)*Inputs!B19+IF(ISBLANK(G17),Inputs!B24,G17)+Inputs!B25+Inputs!B39,MIN(Inputs!B27,0.08)+0.025))*Inputs!B29+Inputs!B28*Inputs!B30,G15)</f>
        <v>3.6811499999999997E-2</v>
      </c>
      <c r="H16" s="11">
        <f>MAX((MAX(Inputs!B18+((1-0.33)*H14*(1+(1-Inputs!B22)*Inputs!B21)+0.33)*Inputs!B19+IF(ISBLANK(H17),Inputs!B24,H17)+Inputs!B25+Inputs!B39,MIN(Inputs!B27,0.08)+0.025))*Inputs!B29+Inputs!B28*Inputs!B30,H15)</f>
        <v>3.6811499999999997E-2</v>
      </c>
      <c r="I16" s="11">
        <f>MAX((MAX(Inputs!B18+((1-0.33)*I14*(1+(1-Inputs!B22)*Inputs!B21)+0.33)*Inputs!B19+IF(ISBLANK(I17),Inputs!B24,I17)+Inputs!B25+Inputs!B39,MIN(Inputs!B27,0.08)+0.025))*Inputs!B29+Inputs!B28*Inputs!B30,I15)</f>
        <v>3.6811499999999997E-2</v>
      </c>
      <c r="J16" s="11">
        <f>MAX((MAX(Inputs!B18+((1-0.33)*J14*(1+(1-Inputs!B22)*Inputs!B21)+0.33)*Inputs!B19+IF(ISBLANK(J17),Inputs!B24,J17)+Inputs!B25+Inputs!B39,MIN(Inputs!B27,0.08)+0.025))*Inputs!B29+Inputs!B28*Inputs!B30,J15)</f>
        <v>3.6811499999999997E-2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/>
      <c r="G18" s="18"/>
      <c r="H18" s="18"/>
      <c r="I18" s="18"/>
      <c r="J18" s="18"/>
    </row>
    <row r="19" spans="1:10" ht="40" customHeight="1" x14ac:dyDescent="0.4">
      <c r="A19" s="17" t="s">
        <v>82</v>
      </c>
      <c r="C19" s="18" t="s">
        <v>83</v>
      </c>
      <c r="D19" s="18" t="s">
        <v>84</v>
      </c>
      <c r="E19" s="18" t="s">
        <v>85</v>
      </c>
      <c r="F19" s="18"/>
      <c r="G19" s="18"/>
      <c r="H19" s="18"/>
      <c r="I19" s="18"/>
      <c r="J19" s="18"/>
    </row>
    <row r="20" spans="1:10" ht="28" customHeight="1" x14ac:dyDescent="0.4">
      <c r="A20" s="17" t="s">
        <v>86</v>
      </c>
      <c r="C20" s="18" t="s">
        <v>87</v>
      </c>
      <c r="D20" s="18" t="s">
        <v>88</v>
      </c>
      <c r="E20" s="18" t="s">
        <v>89</v>
      </c>
      <c r="F20" s="18"/>
      <c r="G20" s="18"/>
      <c r="H20" s="18"/>
      <c r="I20" s="18"/>
      <c r="J20" s="18"/>
    </row>
    <row r="21" spans="1:10" x14ac:dyDescent="0.4">
      <c r="A21" s="4" t="s">
        <v>90</v>
      </c>
      <c r="C21" s="6">
        <f t="shared" ref="C21:J21" si="0">C5*(1+C6)^1</f>
        <v>89677.393084195195</v>
      </c>
      <c r="D21" s="6">
        <f t="shared" si="0"/>
        <v>86044.671500258322</v>
      </c>
      <c r="E21" s="6">
        <f t="shared" si="0"/>
        <v>8799.1416720559228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91</v>
      </c>
      <c r="C22" s="6">
        <f t="shared" ref="C22:J22" si="1">C5*(1+C6)^2</f>
        <v>92757.033799045676</v>
      </c>
      <c r="D22" s="6">
        <f t="shared" si="1"/>
        <v>88139.113018897231</v>
      </c>
      <c r="E22" s="6">
        <f t="shared" si="1"/>
        <v>9101.3158769144356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92</v>
      </c>
      <c r="C23" s="6">
        <f t="shared" ref="C23:J23" si="2">C5*(1+C6)^3</f>
        <v>95942.433463910013</v>
      </c>
      <c r="D23" s="6">
        <f t="shared" si="2"/>
        <v>90284.536024228</v>
      </c>
      <c r="E23" s="6">
        <f t="shared" si="2"/>
        <v>9413.8671450690017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93</v>
      </c>
      <c r="C24" s="6">
        <f t="shared" ref="C24:J24" si="3">C5*(1+C6)^4</f>
        <v>99237.223981514442</v>
      </c>
      <c r="D24" s="6">
        <f t="shared" si="3"/>
        <v>92482.181473308796</v>
      </c>
      <c r="E24" s="6">
        <f t="shared" si="3"/>
        <v>9737.15183864756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94</v>
      </c>
      <c r="C25" s="6">
        <f t="shared" ref="C25:J25" si="4">C5*(1+C6)^5</f>
        <v>102645.1619789457</v>
      </c>
      <c r="D25" s="6">
        <f t="shared" si="4"/>
        <v>94733.320529739649</v>
      </c>
      <c r="E25" s="6">
        <f t="shared" si="4"/>
        <v>10071.538557726541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95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96</v>
      </c>
      <c r="C27" s="11">
        <f t="shared" ref="C27:J27" si="5">IF(ISBLANK(C9),C7,C7+(C9-C7)*(0)/4)</f>
        <v>7.8999999999999987E-2</v>
      </c>
      <c r="D27" s="11">
        <f t="shared" si="5"/>
        <v>5.7000000000000002E-2</v>
      </c>
      <c r="E27" s="11">
        <f t="shared" si="5"/>
        <v>0.36299999999999999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97</v>
      </c>
      <c r="C28" s="11">
        <f t="shared" ref="C28:J28" si="6">IF(ISBLANK(C9),C7,C7+(C9-C7)*(1)/4)</f>
        <v>7.7670663692013781E-2</v>
      </c>
      <c r="D28" s="11">
        <f t="shared" si="6"/>
        <v>5.1920663692013799E-2</v>
      </c>
      <c r="E28" s="11">
        <f t="shared" si="6"/>
        <v>0.33942066369201379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98</v>
      </c>
      <c r="C29" s="11">
        <f t="shared" ref="C29:J29" si="7">IF(ISBLANK(C9),C7,C7+(C9-C7)*(2)/4)</f>
        <v>7.6341327384027588E-2</v>
      </c>
      <c r="D29" s="11">
        <f t="shared" si="7"/>
        <v>4.6841327384027603E-2</v>
      </c>
      <c r="E29" s="11">
        <f t="shared" si="7"/>
        <v>0.31584132738402759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99</v>
      </c>
      <c r="C30" s="11">
        <f t="shared" ref="C30:J30" si="8">IF(ISBLANK(C9),C7,C7+(C9-C7)*(3)/4)</f>
        <v>7.5011991076041395E-2</v>
      </c>
      <c r="D30" s="11">
        <f t="shared" si="8"/>
        <v>4.1761991076041401E-2</v>
      </c>
      <c r="E30" s="11">
        <f t="shared" si="8"/>
        <v>0.29226199107604139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100</v>
      </c>
      <c r="C31" s="11">
        <f t="shared" ref="C31:J31" si="9">IF(ISBLANK(C9),C7,C7+(C9-C7)*(4)/4)</f>
        <v>7.3682654768055189E-2</v>
      </c>
      <c r="D31" s="11">
        <f t="shared" si="9"/>
        <v>3.6682654768055198E-2</v>
      </c>
      <c r="E31" s="11">
        <f t="shared" si="9"/>
        <v>0.2686826547680552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101</v>
      </c>
      <c r="C33" s="6">
        <f t="shared" ref="C33:J37" si="10">C21*C27</f>
        <v>7084.5140536514191</v>
      </c>
      <c r="D33" s="6">
        <f t="shared" si="10"/>
        <v>4904.5462755147246</v>
      </c>
      <c r="E33" s="6">
        <f t="shared" si="10"/>
        <v>3194.0884269562998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102</v>
      </c>
      <c r="C34" s="6">
        <f t="shared" si="10"/>
        <v>7204.5003772744321</v>
      </c>
      <c r="D34" s="6">
        <f t="shared" si="10"/>
        <v>4576.2412451665587</v>
      </c>
      <c r="E34" s="6">
        <f t="shared" si="10"/>
        <v>3089.1746754129604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103</v>
      </c>
      <c r="C35" s="6">
        <f t="shared" si="10"/>
        <v>7324.3727230886379</v>
      </c>
      <c r="D35" s="6">
        <f t="shared" si="10"/>
        <v>4229.0475096258979</v>
      </c>
      <c r="E35" s="6">
        <f t="shared" si="10"/>
        <v>2973.2882949154796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104</v>
      </c>
      <c r="C36" s="6">
        <f t="shared" si="10"/>
        <v>7443.9817597124829</v>
      </c>
      <c r="D36" s="6">
        <f t="shared" si="10"/>
        <v>3862.2400373811633</v>
      </c>
      <c r="E36" s="6">
        <f t="shared" si="10"/>
        <v>2845.7993837728732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105</v>
      </c>
      <c r="C37" s="6">
        <f t="shared" si="10"/>
        <v>7563.1680337057605</v>
      </c>
      <c r="D37" s="6">
        <f t="shared" si="10"/>
        <v>3475.0696920239557</v>
      </c>
      <c r="E37" s="6">
        <f t="shared" si="10"/>
        <v>2706.0477172887968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106</v>
      </c>
      <c r="C39" s="6">
        <f>C33*(1-Inputs!B22)</f>
        <v>5235.4558856483991</v>
      </c>
      <c r="D39" s="6">
        <f>D33*(1-Inputs!B22)</f>
        <v>3624.4596976053813</v>
      </c>
      <c r="E39" s="6">
        <f>E33*(1-Inputs!B22)</f>
        <v>2360.4313475207055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107</v>
      </c>
      <c r="C40" s="6">
        <f>C34*(1-Inputs!B22)</f>
        <v>5324.1257788058056</v>
      </c>
      <c r="D40" s="6">
        <f>D34*(1-Inputs!B22)</f>
        <v>3381.8422801780866</v>
      </c>
      <c r="E40" s="6">
        <f>E34*(1-Inputs!B22)</f>
        <v>2282.9000851301776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108</v>
      </c>
      <c r="C41" s="6">
        <f>C35*(1-Inputs!B22)</f>
        <v>5412.7114423625035</v>
      </c>
      <c r="D41" s="6">
        <f>D35*(1-Inputs!B22)</f>
        <v>3125.2661096135384</v>
      </c>
      <c r="E41" s="6">
        <f>E35*(1-Inputs!B22)</f>
        <v>2197.2600499425394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109</v>
      </c>
      <c r="C42" s="6">
        <f>C36*(1-Inputs!B22)</f>
        <v>5501.1025204275247</v>
      </c>
      <c r="D42" s="6">
        <f>D36*(1-Inputs!B22)</f>
        <v>2854.1953876246798</v>
      </c>
      <c r="E42" s="6">
        <f>E36*(1-Inputs!B22)</f>
        <v>2103.0457446081532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110</v>
      </c>
      <c r="C43" s="6">
        <f>C37*(1-Inputs!B22)</f>
        <v>5589.1811769085571</v>
      </c>
      <c r="D43" s="6">
        <f>D37*(1-Inputs!B22)</f>
        <v>2568.0765024057032</v>
      </c>
      <c r="E43" s="6">
        <f>E37*(1-Inputs!B22)</f>
        <v>1999.7692630764209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111</v>
      </c>
      <c r="C45" s="6">
        <f t="shared" ref="C45:J45" si="11">C21*IF(ISBLANK(C26),C12,C12+(C26-C12)*(0)/4)</f>
        <v>179.3547861683904</v>
      </c>
      <c r="D45" s="6">
        <f t="shared" si="11"/>
        <v>172.08934300051664</v>
      </c>
      <c r="E45" s="6">
        <f t="shared" si="11"/>
        <v>43.995708360279615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112</v>
      </c>
      <c r="C46" s="6">
        <f t="shared" ref="C46:J46" si="12">C22*IF(ISBLANK(C26),C12,C12+(C26-C12)*(1)/4)</f>
        <v>185.51406759809134</v>
      </c>
      <c r="D46" s="6">
        <f t="shared" si="12"/>
        <v>176.27822603779447</v>
      </c>
      <c r="E46" s="6">
        <f t="shared" si="12"/>
        <v>45.506579384572177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113</v>
      </c>
      <c r="C47" s="6">
        <f t="shared" ref="C47:J47" si="13">C23*IF(ISBLANK(C26),C12,C12+(C26-C12)*(2)/4)</f>
        <v>191.88486692782004</v>
      </c>
      <c r="D47" s="6">
        <f t="shared" si="13"/>
        <v>180.56907204845601</v>
      </c>
      <c r="E47" s="6">
        <f t="shared" si="13"/>
        <v>47.069335725345006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114</v>
      </c>
      <c r="C48" s="6">
        <f t="shared" ref="C48:J48" si="14">C24*IF(ISBLANK(C26),C12,C12+(C26-C12)*(3)/4)</f>
        <v>198.47444796302889</v>
      </c>
      <c r="D48" s="6">
        <f t="shared" si="14"/>
        <v>184.9643629466176</v>
      </c>
      <c r="E48" s="6">
        <f t="shared" si="14"/>
        <v>48.6857591932378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115</v>
      </c>
      <c r="C49" s="6">
        <f t="shared" ref="C49:J49" si="15">C25*IF(ISBLANK(C26),C12,C12+(C26-C12)*(4)/4)</f>
        <v>205.29032395789142</v>
      </c>
      <c r="D49" s="6">
        <f t="shared" si="15"/>
        <v>189.46664105947931</v>
      </c>
      <c r="E49" s="6">
        <f t="shared" si="15"/>
        <v>50.357692788632704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116</v>
      </c>
      <c r="C51" s="6">
        <f t="shared" ref="C51:J55" si="16">C39-C45</f>
        <v>5056.101099480009</v>
      </c>
      <c r="D51" s="6">
        <f t="shared" si="16"/>
        <v>3452.3703546048646</v>
      </c>
      <c r="E51" s="6">
        <f t="shared" si="16"/>
        <v>2316.435639160426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117</v>
      </c>
      <c r="C52" s="6">
        <f t="shared" si="16"/>
        <v>5138.6117112077145</v>
      </c>
      <c r="D52" s="6">
        <f t="shared" si="16"/>
        <v>3205.5640541402922</v>
      </c>
      <c r="E52" s="6">
        <f t="shared" si="16"/>
        <v>2237.3935057456056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118</v>
      </c>
      <c r="C53" s="6">
        <f t="shared" si="16"/>
        <v>5220.826575434683</v>
      </c>
      <c r="D53" s="6">
        <f t="shared" si="16"/>
        <v>2944.6970375650826</v>
      </c>
      <c r="E53" s="6">
        <f t="shared" si="16"/>
        <v>2150.1907142171945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119</v>
      </c>
      <c r="C54" s="6">
        <f t="shared" si="16"/>
        <v>5302.6280724644957</v>
      </c>
      <c r="D54" s="6">
        <f t="shared" si="16"/>
        <v>2669.2310246780621</v>
      </c>
      <c r="E54" s="6">
        <f t="shared" si="16"/>
        <v>2054.3599854149152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120</v>
      </c>
      <c r="C55" s="6">
        <f t="shared" si="16"/>
        <v>5383.8908529506652</v>
      </c>
      <c r="D55" s="6">
        <f t="shared" si="16"/>
        <v>2378.6098613462241</v>
      </c>
      <c r="E55" s="6">
        <f t="shared" si="16"/>
        <v>1949.4115702877882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121</v>
      </c>
      <c r="C57" s="6">
        <f t="shared" ref="C57:J57" si="17">C51/((1+C16))</f>
        <v>4819.4762960234484</v>
      </c>
      <c r="D57" s="6">
        <f t="shared" si="17"/>
        <v>3290.7999190964351</v>
      </c>
      <c r="E57" s="6">
        <f t="shared" si="17"/>
        <v>2206.1762752497698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122</v>
      </c>
      <c r="C58" s="6">
        <f t="shared" ref="C58:J58" si="18">C52/((1+C16)*(1+C16+(C104-C16)*1/5))</f>
        <v>4646.3208365393375</v>
      </c>
      <c r="D58" s="6">
        <f t="shared" si="18"/>
        <v>2898.4636113151728</v>
      </c>
      <c r="E58" s="6">
        <f t="shared" si="18"/>
        <v>2020.0016324206395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123</v>
      </c>
      <c r="C59" s="6">
        <f t="shared" ref="C59:J59" si="19">C53/((1+C16)*(1+C16+(C104-C16)*1/5)*(1+C16+(C104-C16)*2/5))</f>
        <v>4456.4321622422231</v>
      </c>
      <c r="D59" s="6">
        <f t="shared" si="19"/>
        <v>2513.5565023382965</v>
      </c>
      <c r="E59" s="6">
        <f t="shared" si="19"/>
        <v>1831.7008975029162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124</v>
      </c>
      <c r="C60" s="6">
        <f t="shared" ref="C60:J60" si="20">C54/((1+C16)*(1+C16+(C104-C16)*1/5)*(1+C16+(C104-C16)*2/5)*(1+C16+(C104-C16)*3/5))</f>
        <v>4252.4502327642422</v>
      </c>
      <c r="D60" s="6">
        <f t="shared" si="20"/>
        <v>2140.5936711149111</v>
      </c>
      <c r="E60" s="6">
        <f t="shared" si="20"/>
        <v>1643.6546348791098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125</v>
      </c>
      <c r="C61" s="6">
        <f t="shared" ref="C61:J61" si="21">C55/((1+C16)*(1+C16+(C104-C16)*1/5)*(1+C16+(C104-C16)*2/5)*(1+C16+(C104-C16)*3/5)*(1+C16+(C104-C16)*4/5))</f>
        <v>4037.101967838063</v>
      </c>
      <c r="D61" s="6">
        <f t="shared" si="21"/>
        <v>1783.5968102319657</v>
      </c>
      <c r="E61" s="6">
        <f t="shared" si="21"/>
        <v>1458.1140622681714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126</v>
      </c>
    </row>
    <row r="63" spans="1:10" x14ac:dyDescent="0.4">
      <c r="A63" s="4" t="s">
        <v>127</v>
      </c>
      <c r="C63" s="6">
        <f t="shared" ref="C63:J63" si="22">C25*(1+(C6+(C13-C6)*1/5))</f>
        <v>105737.95206035374</v>
      </c>
      <c r="D63" s="6">
        <f t="shared" si="22"/>
        <v>96829.853222753853</v>
      </c>
      <c r="E63" s="6">
        <f t="shared" si="22"/>
        <v>10395.146054940473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128</v>
      </c>
      <c r="C64" s="6">
        <f t="shared" ref="C64:J64" si="23">C63*(1+(C6+(C13-C6)*2/5))</f>
        <v>108478.72762982704</v>
      </c>
      <c r="D64" s="6">
        <f t="shared" si="23"/>
        <v>98758.747719629697</v>
      </c>
      <c r="E64" s="6">
        <f t="shared" si="23"/>
        <v>10706.173529262907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129</v>
      </c>
      <c r="C65" s="6">
        <f t="shared" ref="C65:J65" si="24">C64*(1+(C6+(C13-C6)*3/5))</f>
        <v>110833.80244882974</v>
      </c>
      <c r="D65" s="6">
        <f t="shared" si="24"/>
        <v>100507.76663676171</v>
      </c>
      <c r="E65" s="6">
        <f t="shared" si="24"/>
        <v>11002.841759829644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130</v>
      </c>
      <c r="C66" s="6">
        <f t="shared" ref="C66:J66" si="25">C65*(1+(C6+(C13-C6)*4/5))</f>
        <v>112773.34718909182</v>
      </c>
      <c r="D66" s="6">
        <f t="shared" si="25"/>
        <v>102065.594577489</v>
      </c>
      <c r="E66" s="6">
        <f t="shared" si="25"/>
        <v>11283.409578455625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131</v>
      </c>
      <c r="C67" s="6">
        <f t="shared" ref="C67:J67" si="26">C66*(1+(C6+(C13-C6)*5/5))</f>
        <v>114272.00802282734</v>
      </c>
      <c r="D67" s="6">
        <f t="shared" si="26"/>
        <v>103421.95858439158</v>
      </c>
      <c r="E67" s="6">
        <f t="shared" si="26"/>
        <v>11546.190487274594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132</v>
      </c>
      <c r="C69" s="11">
        <f t="shared" ref="C69:J69" si="27">IF(ISBLANK(C9),C7,C9)</f>
        <v>7.3682654768055189E-2</v>
      </c>
      <c r="D69" s="11">
        <f t="shared" si="27"/>
        <v>3.6682654768055198E-2</v>
      </c>
      <c r="E69" s="11">
        <f t="shared" si="27"/>
        <v>0.2686826547680552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133</v>
      </c>
      <c r="C70" s="11">
        <f t="shared" ref="C70:J70" si="28">IF(ISBLANK(C9),C7,C9)</f>
        <v>7.3682654768055189E-2</v>
      </c>
      <c r="D70" s="11">
        <f t="shared" si="28"/>
        <v>3.6682654768055198E-2</v>
      </c>
      <c r="E70" s="11">
        <f t="shared" si="28"/>
        <v>0.2686826547680552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134</v>
      </c>
      <c r="C71" s="11">
        <f t="shared" ref="C71:J71" si="29">IF(ISBLANK(C9),C7,C9)</f>
        <v>7.3682654768055189E-2</v>
      </c>
      <c r="D71" s="11">
        <f t="shared" si="29"/>
        <v>3.6682654768055198E-2</v>
      </c>
      <c r="E71" s="11">
        <f t="shared" si="29"/>
        <v>0.2686826547680552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135</v>
      </c>
      <c r="C72" s="11">
        <f t="shared" ref="C72:J72" si="30">IF(ISBLANK(C9),C7,C9)</f>
        <v>7.3682654768055189E-2</v>
      </c>
      <c r="D72" s="11">
        <f t="shared" si="30"/>
        <v>3.6682654768055198E-2</v>
      </c>
      <c r="E72" s="11">
        <f t="shared" si="30"/>
        <v>0.2686826547680552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136</v>
      </c>
      <c r="C73" s="11">
        <f t="shared" ref="C73:J73" si="31">IF(ISBLANK(C9),C7,C9)</f>
        <v>7.3682654768055189E-2</v>
      </c>
      <c r="D73" s="11">
        <f t="shared" si="31"/>
        <v>3.6682654768055198E-2</v>
      </c>
      <c r="E73" s="11">
        <f t="shared" si="31"/>
        <v>0.2686826547680552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137</v>
      </c>
      <c r="C75" s="6">
        <f t="shared" ref="C75:J79" si="32">C63*C69</f>
        <v>7791.0530175442145</v>
      </c>
      <c r="D75" s="6">
        <f t="shared" si="32"/>
        <v>3551.9760770117364</v>
      </c>
      <c r="E75" s="6">
        <f t="shared" si="32"/>
        <v>2792.9954387430821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138</v>
      </c>
      <c r="C76" s="6">
        <f t="shared" si="32"/>
        <v>7993.0006376264355</v>
      </c>
      <c r="D76" s="6">
        <f t="shared" si="32"/>
        <v>3622.7330479246348</v>
      </c>
      <c r="E76" s="6">
        <f t="shared" si="32"/>
        <v>2876.5631262498368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139</v>
      </c>
      <c r="C77" s="6">
        <f t="shared" si="32"/>
        <v>8166.5288024679512</v>
      </c>
      <c r="D77" s="6">
        <f t="shared" si="32"/>
        <v>3686.8917050445857</v>
      </c>
      <c r="E77" s="6">
        <f t="shared" si="32"/>
        <v>2956.2727340238489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140</v>
      </c>
      <c r="C78" s="6">
        <f t="shared" si="32"/>
        <v>8309.439607971879</v>
      </c>
      <c r="D78" s="6">
        <f t="shared" si="32"/>
        <v>3744.0369695823156</v>
      </c>
      <c r="E78" s="6">
        <f t="shared" si="32"/>
        <v>3031.6564403747598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141</v>
      </c>
      <c r="C79" s="6">
        <f t="shared" si="32"/>
        <v>8419.8649167984204</v>
      </c>
      <c r="D79" s="6">
        <f t="shared" si="32"/>
        <v>3793.7920021873392</v>
      </c>
      <c r="E79" s="6">
        <f t="shared" si="32"/>
        <v>3102.2611125786029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142</v>
      </c>
      <c r="C81" s="6">
        <f>C75*(1-Inputs!B22)</f>
        <v>5757.5881799651743</v>
      </c>
      <c r="D81" s="6">
        <f>D75*(1-Inputs!B22)</f>
        <v>2624.9103209116734</v>
      </c>
      <c r="E81" s="6">
        <f>E75*(1-Inputs!B22)</f>
        <v>2064.0236292311379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143</v>
      </c>
      <c r="C82" s="6">
        <f>C76*(1-Inputs!B22)</f>
        <v>5906.8274712059356</v>
      </c>
      <c r="D82" s="6">
        <f>D76*(1-Inputs!B22)</f>
        <v>2677.1997224163051</v>
      </c>
      <c r="E82" s="6">
        <f>E76*(1-Inputs!B22)</f>
        <v>2125.7801502986295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144</v>
      </c>
      <c r="C83" s="6">
        <f>C77*(1-Inputs!B22)</f>
        <v>6035.0647850238156</v>
      </c>
      <c r="D83" s="6">
        <f>D77*(1-Inputs!B22)</f>
        <v>2724.6129700279489</v>
      </c>
      <c r="E83" s="6">
        <f>E77*(1-Inputs!B22)</f>
        <v>2184.6855504436244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145</v>
      </c>
      <c r="C84" s="6">
        <f>C78*(1-Inputs!B22)</f>
        <v>6140.6758702912184</v>
      </c>
      <c r="D84" s="6">
        <f>D78*(1-Inputs!B22)</f>
        <v>2766.843320521331</v>
      </c>
      <c r="E84" s="6">
        <f>E78*(1-Inputs!B22)</f>
        <v>2240.3941094369475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146</v>
      </c>
      <c r="C85" s="6">
        <f>C79*(1-Inputs!B22)</f>
        <v>6222.2801735140329</v>
      </c>
      <c r="D85" s="6">
        <f>D79*(1-Inputs!B22)</f>
        <v>2803.6122896164438</v>
      </c>
      <c r="E85" s="6">
        <f>E79*(1-Inputs!B22)</f>
        <v>2292.5709621955875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147</v>
      </c>
      <c r="C87" s="6">
        <f t="shared" ref="C87:J87" si="33">C63*MAX(IF(ISBLANK(C26),C12,C26),0)</f>
        <v>211.47590412070747</v>
      </c>
      <c r="D87" s="6">
        <f t="shared" si="33"/>
        <v>193.65970644550771</v>
      </c>
      <c r="E87" s="6">
        <f t="shared" si="33"/>
        <v>51.975730274702364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148</v>
      </c>
      <c r="C88" s="6">
        <f t="shared" ref="C88:J88" si="34">C64*MAX(IF(ISBLANK(C26),C12,C26),0)</f>
        <v>216.9574552596541</v>
      </c>
      <c r="D88" s="6">
        <f t="shared" si="34"/>
        <v>197.51749543925939</v>
      </c>
      <c r="E88" s="6">
        <f t="shared" si="34"/>
        <v>53.53086764631454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149</v>
      </c>
      <c r="C89" s="6">
        <f t="shared" ref="C89:J89" si="35">C65*MAX(IF(ISBLANK(C26),C12,C26),0)</f>
        <v>221.66760489765949</v>
      </c>
      <c r="D89" s="6">
        <f t="shared" si="35"/>
        <v>201.0155332735234</v>
      </c>
      <c r="E89" s="6">
        <f t="shared" si="35"/>
        <v>55.014208799148221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150</v>
      </c>
      <c r="C90" s="6">
        <f t="shared" ref="C90:J90" si="36">C66*MAX(IF(ISBLANK(C26),C12,C26),0)</f>
        <v>225.54669437818364</v>
      </c>
      <c r="D90" s="6">
        <f t="shared" si="36"/>
        <v>204.13118915497799</v>
      </c>
      <c r="E90" s="6">
        <f t="shared" si="36"/>
        <v>56.417047892278127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151</v>
      </c>
      <c r="C91" s="6">
        <f t="shared" ref="C91:J91" si="37">C67*MAX(IF(ISBLANK(C26),C12,C26),0)</f>
        <v>228.5440160456547</v>
      </c>
      <c r="D91" s="6">
        <f t="shared" si="37"/>
        <v>206.84391716878318</v>
      </c>
      <c r="E91" s="6">
        <f t="shared" si="37"/>
        <v>57.730952436372974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152</v>
      </c>
      <c r="C93" s="6">
        <f t="shared" ref="C93:J97" si="38">C81-C87</f>
        <v>5546.1122758444671</v>
      </c>
      <c r="D93" s="6">
        <f t="shared" si="38"/>
        <v>2431.2506144661656</v>
      </c>
      <c r="E93" s="6">
        <f t="shared" si="38"/>
        <v>2012.0478989564356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153</v>
      </c>
      <c r="C94" s="6">
        <f t="shared" si="38"/>
        <v>5689.8700159462815</v>
      </c>
      <c r="D94" s="6">
        <f t="shared" si="38"/>
        <v>2479.6822269770455</v>
      </c>
      <c r="E94" s="6">
        <f t="shared" si="38"/>
        <v>2072.2492826523148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154</v>
      </c>
      <c r="C95" s="6">
        <f t="shared" si="38"/>
        <v>5813.3971801261559</v>
      </c>
      <c r="D95" s="6">
        <f t="shared" si="38"/>
        <v>2523.5974367544254</v>
      </c>
      <c r="E95" s="6">
        <f t="shared" si="38"/>
        <v>2129.6713416444763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155</v>
      </c>
      <c r="C96" s="6">
        <f t="shared" si="38"/>
        <v>5915.1291759130345</v>
      </c>
      <c r="D96" s="6">
        <f t="shared" si="38"/>
        <v>2562.7121313663529</v>
      </c>
      <c r="E96" s="6">
        <f t="shared" si="38"/>
        <v>2183.9770615446691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156</v>
      </c>
      <c r="C97" s="6">
        <f t="shared" si="38"/>
        <v>5993.7361574683782</v>
      </c>
      <c r="D97" s="6">
        <f t="shared" si="38"/>
        <v>2596.7683724476606</v>
      </c>
      <c r="E97" s="6">
        <f t="shared" si="38"/>
        <v>2234.8400097592144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157</v>
      </c>
      <c r="C99" s="6">
        <f t="shared" ref="C99:J99" si="39">C93/(((1+C16)*(1+C16+(C104-C16)*1/5)*(1+C16+(C104-C16)*2/5)*(1+C16+(C104-C16)*3/5)*(1+C16+(C104-C16)*4/5))*(1+C104)^1)</f>
        <v>3870.1050197081822</v>
      </c>
      <c r="D99" s="6">
        <f t="shared" si="39"/>
        <v>1696.5388977419211</v>
      </c>
      <c r="E99" s="6">
        <f t="shared" si="39"/>
        <v>1400.5121971035969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158</v>
      </c>
      <c r="C100" s="6">
        <f t="shared" ref="C100:J100" si="40">C94/(((1+C16)*(1+C16+(C104-C16)*1/5)*(1+C16+(C104-C16)*2/5)*(1+C16+(C104-C16)*3/5)*(1+C16+(C104-C16)*4/5))*(1+C104)^2)</f>
        <v>3694.8521037012479</v>
      </c>
      <c r="D100" s="6">
        <f t="shared" si="40"/>
        <v>1610.2404918178065</v>
      </c>
      <c r="E100" s="6">
        <f t="shared" si="40"/>
        <v>1342.3049730605942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159</v>
      </c>
      <c r="C101" s="6">
        <f t="shared" ref="C101:J101" si="41">C95/(((1+C16)*(1+C16+(C104-C16)*1/5)*(1+C16+(C104-C16)*2/5)*(1+C16+(C104-C16)*3/5)*(1+C16+(C104-C16)*4/5))*(1+C104)^3)</f>
        <v>3513.0580883423049</v>
      </c>
      <c r="D101" s="6">
        <f t="shared" si="41"/>
        <v>1525.01955607266</v>
      </c>
      <c r="E101" s="6">
        <f t="shared" si="41"/>
        <v>1283.7557714851366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160</v>
      </c>
      <c r="C102" s="6">
        <f t="shared" ref="C102:J102" si="42">C96/(((1+C16)*(1+C16+(C104-C16)*1/5)*(1+C16+(C104-C16)*2/5)*(1+C16+(C104-C16)*3/5)*(1+C16+(C104-C16)*4/5))*(1+C104)^4)</f>
        <v>3326.4437939000973</v>
      </c>
      <c r="D102" s="6">
        <f t="shared" si="42"/>
        <v>1441.1718850789518</v>
      </c>
      <c r="E102" s="6">
        <f t="shared" si="42"/>
        <v>1225.1196793767408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161</v>
      </c>
      <c r="C103" s="6">
        <f t="shared" ref="C103:J103" si="43">C97/(((1+C16)*(1+C16+(C104-C16)*1/5)*(1+C16+(C104-C16)*2/5)*(1+C16+(C104-C16)*3/5)*(1+C16+(C104-C16)*4/5))*(1+C104)^5)</f>
        <v>3136.708776041181</v>
      </c>
      <c r="D103" s="6">
        <f t="shared" si="43"/>
        <v>1358.9697526230698</v>
      </c>
      <c r="E103" s="6">
        <f t="shared" si="43"/>
        <v>1166.6417181734998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162</v>
      </c>
      <c r="C104" s="11">
        <f>MAX((Inputs!B18+((1+(1-Inputs!B22)*(Inputs!B36/(1-Inputs!B36)))/(1+(1-Inputs!B22)*0.25))*Inputs!B19+IF(ISBLANK(C17),Inputs!B24,C17)+Inputs!B25+Inputs!B39)*(1-Inputs!B36)+Inputs!B38*Inputs!B36,C15)</f>
        <v>7.4581548005908438E-2</v>
      </c>
      <c r="D104" s="11">
        <f>MAX((Inputs!B18+((1+(1-Inputs!B22)*(Inputs!B36/(1-Inputs!B36)))/(1+(1-Inputs!B22)*0.25))*Inputs!B19+IF(ISBLANK(D17),Inputs!B24,D17)+Inputs!B25+Inputs!B39)*(1-Inputs!B36)+Inputs!B38*Inputs!B36,D15)</f>
        <v>7.4581548005908438E-2</v>
      </c>
      <c r="E104" s="11">
        <f>MAX((Inputs!B18+((1+(1-Inputs!B22)*(Inputs!B36/(1-Inputs!B36)))/(1+(1-Inputs!B22)*0.25))*Inputs!B19+IF(ISBLANK(E17),Inputs!B24,E17)+Inputs!B25+Inputs!B39)*(1-Inputs!B36)+Inputs!B38*Inputs!B36,E15)</f>
        <v>7.4581548005908438E-2</v>
      </c>
      <c r="F104" s="11">
        <f>MAX((Inputs!B18+((1+(1-Inputs!B22)*(Inputs!B36/(1-Inputs!B36)))/(1+(1-Inputs!B22)*0.25))*Inputs!B19+IF(ISBLANK(F17),Inputs!B24,F17)+Inputs!B25+Inputs!B39)*(1-Inputs!B36)+Inputs!B38*Inputs!B36,F15)</f>
        <v>7.4581548005908438E-2</v>
      </c>
      <c r="G104" s="11">
        <f>MAX((Inputs!B18+((1+(1-Inputs!B22)*(Inputs!B36/(1-Inputs!B36)))/(1+(1-Inputs!B22)*0.25))*Inputs!B19+IF(ISBLANK(G17),Inputs!B24,G17)+Inputs!B25+Inputs!B39)*(1-Inputs!B36)+Inputs!B38*Inputs!B36,G15)</f>
        <v>7.4581548005908438E-2</v>
      </c>
      <c r="H104" s="11">
        <f>MAX((Inputs!B18+((1+(1-Inputs!B22)*(Inputs!B36/(1-Inputs!B36)))/(1+(1-Inputs!B22)*0.25))*Inputs!B19+IF(ISBLANK(H17),Inputs!B24,H17)+Inputs!B25+Inputs!B39)*(1-Inputs!B36)+Inputs!B38*Inputs!B36,H15)</f>
        <v>7.4581548005908438E-2</v>
      </c>
      <c r="I104" s="11">
        <f>MAX((Inputs!B18+((1+(1-Inputs!B22)*(Inputs!B36/(1-Inputs!B36)))/(1+(1-Inputs!B22)*0.25))*Inputs!B19+IF(ISBLANK(I17),Inputs!B24,I17)+Inputs!B25+Inputs!B39)*(1-Inputs!B36)+Inputs!B38*Inputs!B36,I15)</f>
        <v>7.4581548005908438E-2</v>
      </c>
      <c r="J104" s="11">
        <f>MAX((Inputs!B18+((1+(1-Inputs!B22)*(Inputs!B36/(1-Inputs!B36)))/(1+(1-Inputs!B22)*0.25))*Inputs!B19+IF(ISBLANK(J17),Inputs!B24,J17)+Inputs!B25+Inputs!B39)*(1-Inputs!B36)+Inputs!B38*Inputs!B36,J15)</f>
        <v>7.4581548005908438E-2</v>
      </c>
    </row>
    <row r="105" spans="1:11" x14ac:dyDescent="0.4">
      <c r="A105" s="4" t="s">
        <v>163</v>
      </c>
      <c r="C105" s="6">
        <f t="shared" ref="C105:J105" si="44">SUM(C57:C61,C99:C103)</f>
        <v>39752.949277100328</v>
      </c>
      <c r="D105" s="6">
        <f t="shared" si="44"/>
        <v>20258.951097431192</v>
      </c>
      <c r="E105" s="6">
        <f t="shared" si="44"/>
        <v>15577.981841520177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164</v>
      </c>
      <c r="C106" s="6">
        <f t="shared" ref="C106:J106" si="45">IF(C5=0,0,C97*(1+C13)/(C104-C13))</f>
        <v>99088.74502220859</v>
      </c>
      <c r="D106" s="6">
        <f t="shared" si="45"/>
        <v>42929.904216518618</v>
      </c>
      <c r="E106" s="6">
        <f t="shared" si="45"/>
        <v>44585.302482875675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165</v>
      </c>
      <c r="C107" s="6">
        <f t="shared" ref="C107:J107" si="46">C106/(((1+C16)*(1+C16+(C104-C16)*1/5)*(1+C16+(C104-C16)*2/5)*(1+C16+(C104-C16)*3/5)*(1+C16+(C104-C16)*4/5))*(1+C104)^5)</f>
        <v>51856.225891889932</v>
      </c>
      <c r="D107" s="6">
        <f t="shared" si="46"/>
        <v>22466.555712962527</v>
      </c>
      <c r="E107" s="6">
        <f t="shared" si="46"/>
        <v>23274.629802028416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166</v>
      </c>
      <c r="C109" s="20">
        <f t="shared" ref="C109:J109" si="47">C105+C107</f>
        <v>91609.175168990259</v>
      </c>
      <c r="D109" s="20">
        <f t="shared" si="47"/>
        <v>42725.506810393723</v>
      </c>
      <c r="E109" s="20">
        <f t="shared" si="47"/>
        <v>38852.611643548589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173187.29362293257</v>
      </c>
    </row>
    <row r="110" spans="1:11" x14ac:dyDescent="0.4">
      <c r="A110" s="4" t="s">
        <v>167</v>
      </c>
      <c r="K110" s="11">
        <f>IFERROR(SUMPRODUCT(C109:J109,C16:J16)/SUM(C109:J109),0)</f>
        <v>4.9295028378828633E-2</v>
      </c>
    </row>
    <row r="111" spans="1:11" x14ac:dyDescent="0.4">
      <c r="A111" s="4" t="s">
        <v>168</v>
      </c>
      <c r="K111" s="5">
        <v>43592</v>
      </c>
    </row>
    <row r="112" spans="1:11" x14ac:dyDescent="0.4">
      <c r="A112" s="4" t="s">
        <v>169</v>
      </c>
      <c r="K112" s="5">
        <v>700</v>
      </c>
    </row>
    <row r="113" spans="1:11" x14ac:dyDescent="0.4">
      <c r="A113" s="4" t="s">
        <v>170</v>
      </c>
      <c r="K113" s="5">
        <v>-10338.831418143151</v>
      </c>
    </row>
    <row r="114" spans="1:11" x14ac:dyDescent="0.4">
      <c r="A114" s="4" t="s">
        <v>171</v>
      </c>
      <c r="K114" s="5">
        <v>0</v>
      </c>
    </row>
    <row r="115" spans="1:11" x14ac:dyDescent="0.4">
      <c r="A115" s="4" t="s">
        <v>172</v>
      </c>
      <c r="K115" s="5">
        <v>0</v>
      </c>
    </row>
    <row r="116" spans="1:11" x14ac:dyDescent="0.4">
      <c r="A116" s="4" t="s">
        <v>173</v>
      </c>
      <c r="K116" s="5">
        <v>-165</v>
      </c>
    </row>
    <row r="117" spans="1:11" x14ac:dyDescent="0.4">
      <c r="A117" s="4" t="s">
        <v>174</v>
      </c>
      <c r="K117" s="5">
        <v>0</v>
      </c>
    </row>
    <row r="118" spans="1:11" x14ac:dyDescent="0.4">
      <c r="A118" s="4" t="s">
        <v>175</v>
      </c>
      <c r="K118" s="5">
        <v>0</v>
      </c>
    </row>
    <row r="119" spans="1:11" x14ac:dyDescent="0.4">
      <c r="A119" s="4" t="s">
        <v>176</v>
      </c>
      <c r="K119" s="20">
        <f>K109+K113+K114+K115+K116+K117+K118-K111-K112</f>
        <v>118391.46220478942</v>
      </c>
    </row>
    <row r="120" spans="1:11" x14ac:dyDescent="0.4">
      <c r="A120" s="4" t="s">
        <v>177</v>
      </c>
      <c r="K120" s="6">
        <f>Inputs!B11</f>
        <v>388.4</v>
      </c>
    </row>
    <row r="122" spans="1:11" ht="15.9" customHeight="1" x14ac:dyDescent="0.45">
      <c r="A122" s="4" t="s">
        <v>178</v>
      </c>
      <c r="K122" s="21">
        <f>K119/K120</f>
        <v>304.81838878679048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181</v>
      </c>
    </row>
    <row r="2" spans="1:5" x14ac:dyDescent="0.4">
      <c r="A2" s="2" t="s">
        <v>182</v>
      </c>
    </row>
    <row r="3" spans="1:5" x14ac:dyDescent="0.4">
      <c r="A3" s="2" t="s">
        <v>183</v>
      </c>
    </row>
    <row r="4" spans="1:5" x14ac:dyDescent="0.4">
      <c r="A4" s="22" t="s">
        <v>184</v>
      </c>
      <c r="B4" s="22" t="s">
        <v>185</v>
      </c>
      <c r="C4" s="22" t="s">
        <v>186</v>
      </c>
      <c r="D4" s="22" t="s">
        <v>187</v>
      </c>
      <c r="E4" s="22" t="s">
        <v>188</v>
      </c>
    </row>
    <row r="5" spans="1:5" ht="30" customHeight="1" x14ac:dyDescent="0.4">
      <c r="A5" s="23" t="s">
        <v>189</v>
      </c>
      <c r="B5" s="5">
        <v>-1500</v>
      </c>
      <c r="C5" s="7">
        <v>0.05</v>
      </c>
      <c r="D5" s="6">
        <f>IF(ISNUMBER(B5),B5*C5,"")</f>
        <v>-75</v>
      </c>
      <c r="E5" s="24" t="s">
        <v>190</v>
      </c>
    </row>
    <row r="6" spans="1:5" ht="30" customHeight="1" x14ac:dyDescent="0.4">
      <c r="A6" s="23" t="s">
        <v>191</v>
      </c>
      <c r="B6" s="5">
        <v>-300</v>
      </c>
      <c r="C6" s="7">
        <v>0.3</v>
      </c>
      <c r="D6" s="6">
        <f>IF(ISNUMBER(B6),B6*C6,"")</f>
        <v>-90</v>
      </c>
      <c r="E6" s="24" t="s">
        <v>192</v>
      </c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193</v>
      </c>
      <c r="D11" s="20">
        <f>SUM(D5:D9)</f>
        <v>-165</v>
      </c>
    </row>
    <row r="12" spans="1:5" x14ac:dyDescent="0.4">
      <c r="C12" s="4" t="s">
        <v>194</v>
      </c>
      <c r="D12" s="20">
        <f>IF(Inputs!B11&gt;0,D11/Inputs!B11,"")</f>
        <v>-0.42481977342945421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195</v>
      </c>
    </row>
    <row r="2" spans="1:12" x14ac:dyDescent="0.4">
      <c r="A2" s="2" t="s">
        <v>196</v>
      </c>
    </row>
    <row r="4" spans="1:12" x14ac:dyDescent="0.4">
      <c r="A4" s="3" t="s">
        <v>197</v>
      </c>
    </row>
    <row r="5" spans="1:12" ht="29.15" customHeight="1" x14ac:dyDescent="0.4">
      <c r="A5" s="25" t="s">
        <v>198</v>
      </c>
      <c r="B5" s="25" t="s">
        <v>199</v>
      </c>
      <c r="C5" s="25" t="s">
        <v>200</v>
      </c>
      <c r="D5" s="25" t="s">
        <v>201</v>
      </c>
      <c r="E5" s="25" t="s">
        <v>202</v>
      </c>
      <c r="F5" s="25" t="s">
        <v>203</v>
      </c>
      <c r="G5" s="25" t="s">
        <v>204</v>
      </c>
      <c r="H5" s="25" t="s">
        <v>205</v>
      </c>
      <c r="I5" s="25" t="s">
        <v>206</v>
      </c>
      <c r="J5" s="25" t="s">
        <v>207</v>
      </c>
      <c r="K5" s="25" t="s">
        <v>208</v>
      </c>
      <c r="L5" s="25" t="s">
        <v>209</v>
      </c>
    </row>
    <row r="6" spans="1:12" x14ac:dyDescent="0.4">
      <c r="A6" s="35" t="s">
        <v>55</v>
      </c>
      <c r="B6" s="36">
        <v>6.5658672615972413E-2</v>
      </c>
      <c r="C6" s="36">
        <v>0.05</v>
      </c>
      <c r="D6" s="36">
        <v>3.4341327384027592E-2</v>
      </c>
      <c r="E6" s="36">
        <v>0.11899999999999999</v>
      </c>
      <c r="F6" s="36">
        <v>0.104</v>
      </c>
      <c r="G6" s="36">
        <v>7.8999999999999987E-2</v>
      </c>
      <c r="H6" s="36">
        <v>2.4473906461706399E-2</v>
      </c>
      <c r="I6" s="36">
        <v>0.02</v>
      </c>
      <c r="J6" s="36">
        <v>1.3289140307440399E-2</v>
      </c>
      <c r="K6" s="37">
        <v>1.47</v>
      </c>
      <c r="L6" s="37">
        <v>3</v>
      </c>
    </row>
    <row r="7" spans="1:12" x14ac:dyDescent="0.4">
      <c r="A7" s="35" t="s">
        <v>56</v>
      </c>
      <c r="B7" s="36">
        <v>5.5658672615972397E-2</v>
      </c>
      <c r="C7" s="36">
        <v>0.04</v>
      </c>
      <c r="D7" s="36">
        <v>2.434132738402759E-2</v>
      </c>
      <c r="E7" s="36">
        <v>9.3843438770238402E-2</v>
      </c>
      <c r="F7" s="36">
        <v>6.7000000000000004E-2</v>
      </c>
      <c r="G7" s="36">
        <v>5.7000000000000002E-2</v>
      </c>
      <c r="H7" s="36">
        <v>2.4473906461706399E-2</v>
      </c>
      <c r="I7" s="36">
        <v>0.02</v>
      </c>
      <c r="J7" s="36">
        <v>1.3289140307440399E-2</v>
      </c>
      <c r="K7" s="37">
        <v>1.47</v>
      </c>
      <c r="L7" s="37">
        <v>3</v>
      </c>
    </row>
    <row r="8" spans="1:12" x14ac:dyDescent="0.4">
      <c r="A8" s="35" t="s">
        <v>57</v>
      </c>
      <c r="B8" s="36">
        <v>0.08</v>
      </c>
      <c r="C8" s="36">
        <v>0.05</v>
      </c>
      <c r="D8" s="36">
        <v>3.4341327384027592E-2</v>
      </c>
      <c r="E8" s="36">
        <v>0.41984343877023839</v>
      </c>
      <c r="F8" s="36">
        <v>0.39300000000000002</v>
      </c>
      <c r="G8" s="36">
        <v>0.36299999999999999</v>
      </c>
      <c r="H8" s="36">
        <v>3.4473906461706401E-2</v>
      </c>
      <c r="I8" s="36">
        <v>0.03</v>
      </c>
      <c r="J8" s="36">
        <v>2.3289140307440399E-2</v>
      </c>
      <c r="K8" s="37">
        <v>1.56</v>
      </c>
      <c r="L8" s="37">
        <v>3</v>
      </c>
    </row>
    <row r="9" spans="1:12" x14ac:dyDescent="0.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210</v>
      </c>
    </row>
    <row r="16" spans="1:12" x14ac:dyDescent="0.4">
      <c r="A16" s="22" t="s">
        <v>211</v>
      </c>
      <c r="B16" s="22" t="s">
        <v>212</v>
      </c>
      <c r="C16" s="22" t="s">
        <v>213</v>
      </c>
      <c r="D16" s="22" t="s">
        <v>214</v>
      </c>
      <c r="E16" s="22" t="s">
        <v>215</v>
      </c>
    </row>
    <row r="17" spans="1:5" x14ac:dyDescent="0.4">
      <c r="A17" s="4" t="s">
        <v>216</v>
      </c>
      <c r="B17" s="6">
        <f>'DCF Bull'!K122</f>
        <v>1021.5471553174769</v>
      </c>
      <c r="C17" s="38">
        <v>0.25</v>
      </c>
      <c r="D17" s="27" t="s">
        <v>217</v>
      </c>
      <c r="E17" s="6">
        <f>MAX(B17,0)</f>
        <v>1021.5471553174769</v>
      </c>
    </row>
    <row r="18" spans="1:5" x14ac:dyDescent="0.4">
      <c r="A18" s="4" t="s">
        <v>218</v>
      </c>
      <c r="B18" s="6">
        <f>'DCF Base'!K122</f>
        <v>630.28453213401349</v>
      </c>
      <c r="C18" s="38">
        <v>0.6</v>
      </c>
      <c r="D18" s="27" t="s">
        <v>219</v>
      </c>
      <c r="E18" s="6">
        <f>MAX(B18,0)</f>
        <v>630.28453213401349</v>
      </c>
    </row>
    <row r="19" spans="1:5" x14ac:dyDescent="0.4">
      <c r="A19" s="4" t="s">
        <v>220</v>
      </c>
      <c r="B19" s="6">
        <f>'DCF Bear'!K122</f>
        <v>304.81838878679048</v>
      </c>
      <c r="C19" s="38">
        <v>0.15</v>
      </c>
      <c r="D19" s="27" t="s">
        <v>221</v>
      </c>
      <c r="E19" s="6">
        <f>MAX(B19,0)</f>
        <v>304.81838878679048</v>
      </c>
    </row>
    <row r="20" spans="1:5" x14ac:dyDescent="0.4">
      <c r="A20" s="2" t="s">
        <v>222</v>
      </c>
    </row>
    <row r="21" spans="1:5" ht="15.9" customHeight="1" x14ac:dyDescent="0.45">
      <c r="A21" s="19" t="s">
        <v>223</v>
      </c>
      <c r="B21" s="21">
        <f>MAX(0,B17*C17+B18*C18+B19*C19)</f>
        <v>679.28026642779594</v>
      </c>
      <c r="D21" s="2" t="s">
        <v>224</v>
      </c>
      <c r="E21" s="6">
        <f>B17*C17+B18*C18+B19*C19</f>
        <v>679.28026642779594</v>
      </c>
    </row>
    <row r="22" spans="1:5" x14ac:dyDescent="0.4">
      <c r="A22" s="2" t="s">
        <v>225</v>
      </c>
      <c r="B22" s="39" t="s">
        <v>226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6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227</v>
      </c>
    </row>
    <row r="2" spans="1:5" x14ac:dyDescent="0.4">
      <c r="A2" s="2" t="s">
        <v>228</v>
      </c>
    </row>
    <row r="4" spans="1:5" x14ac:dyDescent="0.4">
      <c r="A4" s="4" t="s">
        <v>229</v>
      </c>
      <c r="B4" s="40">
        <v>431.03</v>
      </c>
    </row>
    <row r="5" spans="1:5" x14ac:dyDescent="0.4">
      <c r="A5" s="4" t="s">
        <v>230</v>
      </c>
      <c r="B5" s="40">
        <v>679.28</v>
      </c>
    </row>
    <row r="6" spans="1:5" x14ac:dyDescent="0.4">
      <c r="A6" s="4" t="s">
        <v>231</v>
      </c>
      <c r="B6" s="29">
        <f>(B5-B4)/B4</f>
        <v>0.57594598983829437</v>
      </c>
    </row>
    <row r="7" spans="1:5" x14ac:dyDescent="0.4">
      <c r="A7" s="4" t="s">
        <v>232</v>
      </c>
      <c r="B7" s="41" t="s">
        <v>233</v>
      </c>
    </row>
    <row r="9" spans="1:5" x14ac:dyDescent="0.4">
      <c r="B9" s="31" t="s">
        <v>218</v>
      </c>
      <c r="C9" s="31" t="s">
        <v>234</v>
      </c>
      <c r="D9" s="31" t="s">
        <v>235</v>
      </c>
      <c r="E9" s="31" t="s">
        <v>236</v>
      </c>
    </row>
    <row r="10" spans="1:5" x14ac:dyDescent="0.4">
      <c r="A10" t="s">
        <v>237</v>
      </c>
      <c r="B10" s="42">
        <v>179207</v>
      </c>
      <c r="C10" s="6">
        <f>B10</f>
        <v>179207</v>
      </c>
      <c r="D10" s="6">
        <f>B10</f>
        <v>179207</v>
      </c>
      <c r="E10" s="6">
        <f t="shared" ref="E10:E15" si="0">B10</f>
        <v>179207</v>
      </c>
    </row>
    <row r="11" spans="1:5" x14ac:dyDescent="0.4">
      <c r="A11" t="s">
        <v>238</v>
      </c>
      <c r="B11" s="43">
        <v>4.5312683098316472E-2</v>
      </c>
      <c r="C11" s="44">
        <v>1.2316894531250001E-2</v>
      </c>
      <c r="D11" s="11">
        <f>B11</f>
        <v>4.5312683098316472E-2</v>
      </c>
      <c r="E11" s="11">
        <f t="shared" si="0"/>
        <v>4.5312683098316472E-2</v>
      </c>
    </row>
    <row r="12" spans="1:5" x14ac:dyDescent="0.4">
      <c r="A12" t="s">
        <v>239</v>
      </c>
      <c r="B12" s="43">
        <v>0.1003758279531491</v>
      </c>
      <c r="C12" s="11">
        <f t="shared" ref="C12:C20" si="1">B12</f>
        <v>0.1003758279531491</v>
      </c>
      <c r="D12" s="11">
        <f>B12</f>
        <v>0.1003758279531491</v>
      </c>
      <c r="E12" s="11">
        <f t="shared" si="0"/>
        <v>0.1003758279531491</v>
      </c>
    </row>
    <row r="13" spans="1:5" x14ac:dyDescent="0.4">
      <c r="A13" t="s">
        <v>240</v>
      </c>
      <c r="B13" s="43">
        <v>9.6913625025808137E-2</v>
      </c>
      <c r="C13" s="11">
        <f t="shared" si="1"/>
        <v>9.6913625025808137E-2</v>
      </c>
      <c r="D13" s="44">
        <v>7.821674346923832E-2</v>
      </c>
      <c r="E13" s="11">
        <f t="shared" si="0"/>
        <v>9.6913625025808137E-2</v>
      </c>
    </row>
    <row r="14" spans="1:5" x14ac:dyDescent="0.4">
      <c r="A14" t="s">
        <v>241</v>
      </c>
      <c r="B14" s="43">
        <v>2.1424107317236491E-3</v>
      </c>
      <c r="C14" s="11">
        <f t="shared" si="1"/>
        <v>2.1424107317236491E-3</v>
      </c>
      <c r="D14" s="11">
        <f t="shared" ref="D14:D20" si="2">B14</f>
        <v>2.1424107317236491E-3</v>
      </c>
      <c r="E14" s="11">
        <f t="shared" si="0"/>
        <v>2.1424107317236491E-3</v>
      </c>
    </row>
    <row r="15" spans="1:5" x14ac:dyDescent="0.4">
      <c r="A15" t="s">
        <v>73</v>
      </c>
      <c r="B15" s="43">
        <v>2.047470243907883E-2</v>
      </c>
      <c r="C15" s="11">
        <f t="shared" si="1"/>
        <v>2.047470243907883E-2</v>
      </c>
      <c r="D15" s="11">
        <f t="shared" si="2"/>
        <v>2.047470243907883E-2</v>
      </c>
      <c r="E15" s="11">
        <f t="shared" si="0"/>
        <v>2.047470243907883E-2</v>
      </c>
    </row>
    <row r="16" spans="1:5" x14ac:dyDescent="0.4">
      <c r="A16" t="s">
        <v>242</v>
      </c>
      <c r="B16" s="43">
        <v>4.9252387690979241E-2</v>
      </c>
      <c r="C16" s="11">
        <f t="shared" si="1"/>
        <v>4.9252387690979241E-2</v>
      </c>
      <c r="D16" s="11">
        <f t="shared" si="2"/>
        <v>4.9252387690979241E-2</v>
      </c>
      <c r="E16" s="44">
        <v>5.5771865844726563E-2</v>
      </c>
    </row>
    <row r="17" spans="1:5" x14ac:dyDescent="0.4">
      <c r="A17" t="s">
        <v>243</v>
      </c>
      <c r="B17" s="43">
        <v>0.26100000000000001</v>
      </c>
      <c r="C17" s="11">
        <f t="shared" si="1"/>
        <v>0.26100000000000001</v>
      </c>
      <c r="D17" s="11">
        <f t="shared" si="2"/>
        <v>0.26100000000000001</v>
      </c>
      <c r="E17" s="11">
        <f>B17</f>
        <v>0.26100000000000001</v>
      </c>
    </row>
    <row r="18" spans="1:5" x14ac:dyDescent="0.4">
      <c r="A18" t="s">
        <v>244</v>
      </c>
      <c r="B18" s="42">
        <v>-217243.2</v>
      </c>
      <c r="C18" s="6">
        <f t="shared" si="1"/>
        <v>-217243.2</v>
      </c>
      <c r="D18" s="6">
        <f t="shared" si="2"/>
        <v>-217243.2</v>
      </c>
      <c r="E18" s="6">
        <f>B18</f>
        <v>-217243.2</v>
      </c>
    </row>
    <row r="19" spans="1:5" x14ac:dyDescent="0.4">
      <c r="A19" t="s">
        <v>245</v>
      </c>
      <c r="B19" s="42">
        <v>-35766</v>
      </c>
      <c r="C19" s="6">
        <f t="shared" si="1"/>
        <v>-35766</v>
      </c>
      <c r="D19" s="6">
        <f t="shared" si="2"/>
        <v>-35766</v>
      </c>
      <c r="E19" s="6">
        <f>B19</f>
        <v>-35766</v>
      </c>
    </row>
    <row r="20" spans="1:5" x14ac:dyDescent="0.4">
      <c r="A20" t="s">
        <v>246</v>
      </c>
      <c r="B20" s="40">
        <v>388.4</v>
      </c>
      <c r="C20" s="6">
        <f t="shared" si="1"/>
        <v>388.4</v>
      </c>
      <c r="D20" s="6">
        <f t="shared" si="2"/>
        <v>388.4</v>
      </c>
      <c r="E20" s="6">
        <f>B20</f>
        <v>388.4</v>
      </c>
    </row>
    <row r="22" spans="1:5" x14ac:dyDescent="0.4">
      <c r="A22" t="s">
        <v>247</v>
      </c>
      <c r="B22" s="6">
        <f>B10*(1+B11)^1</f>
        <v>187327.34999999998</v>
      </c>
      <c r="C22" s="6">
        <f>C10*(1+C11)^1</f>
        <v>181414.27371826171</v>
      </c>
      <c r="D22" s="6">
        <f>D10*(1+D11)^1</f>
        <v>187327.34999999998</v>
      </c>
      <c r="E22" s="6">
        <f>E10*(1+E11)^1</f>
        <v>187327.34999999998</v>
      </c>
    </row>
    <row r="23" spans="1:5" x14ac:dyDescent="0.4">
      <c r="A23" t="s">
        <v>248</v>
      </c>
      <c r="B23" s="6">
        <f>B10*(1+B11)^2</f>
        <v>195815.65484619737</v>
      </c>
      <c r="C23" s="6">
        <f>C10*(1+C11)^2</f>
        <v>183648.73419411285</v>
      </c>
      <c r="D23" s="6">
        <f>D10*(1+D11)^2</f>
        <v>195815.65484619737</v>
      </c>
      <c r="E23" s="6">
        <f>E10*(1+E11)^2</f>
        <v>195815.65484619737</v>
      </c>
    </row>
    <row r="24" spans="1:5" x14ac:dyDescent="0.4">
      <c r="A24" t="s">
        <v>249</v>
      </c>
      <c r="B24" s="6">
        <f>B10*(1+B11)^3</f>
        <v>204688.58755993241</v>
      </c>
      <c r="C24" s="6">
        <f>C10*(1+C11)^3</f>
        <v>185910.71628397933</v>
      </c>
      <c r="D24" s="6">
        <f>D10*(1+D11)^3</f>
        <v>204688.58755993241</v>
      </c>
      <c r="E24" s="6">
        <f>E10*(1+E11)^3</f>
        <v>204688.58755993241</v>
      </c>
    </row>
    <row r="25" spans="1:5" x14ac:dyDescent="0.4">
      <c r="A25" t="s">
        <v>250</v>
      </c>
      <c r="B25" s="6">
        <f>B10*(1+B11)^4</f>
        <v>213963.57666187763</v>
      </c>
      <c r="C25" s="6">
        <f>C10*(1+C11)^4</f>
        <v>188200.5589686782</v>
      </c>
      <c r="D25" s="6">
        <f>D10*(1+D11)^4</f>
        <v>213963.57666187763</v>
      </c>
      <c r="E25" s="6">
        <f>E10*(1+E11)^4</f>
        <v>213963.57666187763</v>
      </c>
    </row>
    <row r="26" spans="1:5" x14ac:dyDescent="0.4">
      <c r="A26" t="s">
        <v>251</v>
      </c>
      <c r="B26" s="6">
        <f>B10*(1+B11)^5</f>
        <v>223658.84040573961</v>
      </c>
      <c r="C26" s="6">
        <f>C10*(1+C11)^5</f>
        <v>190518.6054042177</v>
      </c>
      <c r="D26" s="6">
        <f>D10*(1+D11)^5</f>
        <v>223658.84040573961</v>
      </c>
      <c r="E26" s="6">
        <f>E10*(1+E11)^5</f>
        <v>223658.84040573961</v>
      </c>
    </row>
    <row r="27" spans="1:5" x14ac:dyDescent="0.4">
      <c r="A27" t="s">
        <v>252</v>
      </c>
      <c r="B27" s="6">
        <f>B26*(1+(B11+(B15-B11)*1/5))</f>
        <v>232682.37577272879</v>
      </c>
      <c r="C27" s="6">
        <f>C26*(1+(C11+(C15-C11)*1/5))</f>
        <v>193176.0458103733</v>
      </c>
      <c r="D27" s="6">
        <f>D26*(1+(D11+(D15-D11)*1/5))</f>
        <v>232682.37577272879</v>
      </c>
      <c r="E27" s="6">
        <f>E26*(1+(E11+(E15-E11)*1/5))</f>
        <v>232682.37577272879</v>
      </c>
    </row>
    <row r="28" spans="1:5" x14ac:dyDescent="0.4">
      <c r="A28" t="s">
        <v>253</v>
      </c>
      <c r="B28" s="6">
        <f>B27*(1+(B11+(B15-B11)*2/5))</f>
        <v>240914.09438900644</v>
      </c>
      <c r="C28" s="6">
        <f>C27*(1+(C11+(C15-C11)*2/5))</f>
        <v>196185.73202222955</v>
      </c>
      <c r="D28" s="6">
        <f>D27*(1+(D11+(D15-D11)*2/5))</f>
        <v>240914.09438900644</v>
      </c>
      <c r="E28" s="6">
        <f>E27*(1+(E11+(E15-E11)*2/5))</f>
        <v>240914.09438900644</v>
      </c>
    </row>
    <row r="29" spans="1:5" x14ac:dyDescent="0.4">
      <c r="A29" t="s">
        <v>254</v>
      </c>
      <c r="B29" s="6">
        <f>B28*(1+(B11+(B15-B11)*3/5))</f>
        <v>248240.26663179023</v>
      </c>
      <c r="C29" s="6">
        <f>C28*(1+(C11+(C15-C11)*3/5))</f>
        <v>199562.39830173992</v>
      </c>
      <c r="D29" s="6">
        <f>D28*(1+(D11+(D15-D11)*3/5))</f>
        <v>248240.26663179023</v>
      </c>
      <c r="E29" s="6">
        <f>E28*(1+(E11+(E15-E11)*3/5))</f>
        <v>248240.26663179023</v>
      </c>
    </row>
    <row r="30" spans="1:5" x14ac:dyDescent="0.4">
      <c r="A30" t="s">
        <v>255</v>
      </c>
      <c r="B30" s="6">
        <f>B29*(1+(B11+(B15-B11)*4/5))</f>
        <v>254556.06961276263</v>
      </c>
      <c r="C30" s="6">
        <f>C29*(1+(C11+(C15-C11)*4/5))</f>
        <v>203322.78068280275</v>
      </c>
      <c r="D30" s="6">
        <f>D29*(1+(D11+(D15-D11)*4/5))</f>
        <v>254556.06961276263</v>
      </c>
      <c r="E30" s="6">
        <f>E29*(1+(E11+(E15-E11)*4/5))</f>
        <v>254556.06961276263</v>
      </c>
    </row>
    <row r="31" spans="1:5" x14ac:dyDescent="0.4">
      <c r="A31" t="s">
        <v>256</v>
      </c>
      <c r="B31" s="6">
        <f>B30*(1+(B11+(B15-B11)*5/5))</f>
        <v>259768.02939214537</v>
      </c>
      <c r="C31" s="6">
        <f>C30*(1+(C11+(C15-C11)*5/5))</f>
        <v>207485.75411636921</v>
      </c>
      <c r="D31" s="6">
        <f>D30*(1+(D11+(D15-D11)*5/5))</f>
        <v>259768.02939214537</v>
      </c>
      <c r="E31" s="6">
        <f>E30*(1+(E11+(E15-E11)*5/5))</f>
        <v>259768.02939214537</v>
      </c>
    </row>
    <row r="33" spans="1:5" x14ac:dyDescent="0.4">
      <c r="A33" t="s">
        <v>257</v>
      </c>
      <c r="B33" s="6">
        <f>B22*(B12+(B13-B12)*0/4)*(1-B17)-B22*B14</f>
        <v>13494.186749504443</v>
      </c>
      <c r="C33" s="6">
        <f>C22*(C12+(C13-C12)*0/4)*(1-C17)-C22*C14</f>
        <v>13068.236371143561</v>
      </c>
      <c r="D33" s="6">
        <f>D22*(D12+(D13-D12)*0/4)*(1-D17)-D22*D14</f>
        <v>13494.186749504443</v>
      </c>
      <c r="E33" s="6">
        <f>E22*(E12+(E13-E12)*0/4)*(1-E17)-E22*E14</f>
        <v>13494.186749504443</v>
      </c>
    </row>
    <row r="34" spans="1:5" x14ac:dyDescent="0.4">
      <c r="A34" t="s">
        <v>258</v>
      </c>
      <c r="B34" s="6">
        <f>B23*(B12+(B13-B12)*1/4)*(1-B17)-B23*B14</f>
        <v>13980.39264205347</v>
      </c>
      <c r="C34" s="6">
        <f>C23*(C12+(C13-C12)*1/4)*(1-C17)-C23*C14</f>
        <v>13111.727018283738</v>
      </c>
      <c r="D34" s="6">
        <f>D23*(D12+(D13-D12)*1/4)*(1-D17)-D23*D14</f>
        <v>13303.996638047287</v>
      </c>
      <c r="E34" s="6">
        <f>E23*(E12+(E13-E12)*1/4)*(1-E17)-E23*E14</f>
        <v>13980.39264205347</v>
      </c>
    </row>
    <row r="35" spans="1:5" x14ac:dyDescent="0.4">
      <c r="A35" t="s">
        <v>259</v>
      </c>
      <c r="B35" s="6">
        <f>B24*(B12+(B13-B12)*2/4)*(1-B17)-B24*B14</f>
        <v>14482.954327786625</v>
      </c>
      <c r="C35" s="6">
        <f>C24*(C12+(C13-C12)*2/4)*(1-C17)-C24*C14</f>
        <v>13154.306476410664</v>
      </c>
      <c r="D35" s="6">
        <f>D24*(D12+(D13-D12)*2/4)*(1-D17)-D24*D14</f>
        <v>13068.86368421726</v>
      </c>
      <c r="E35" s="6">
        <f>E24*(E12+(E13-E12)*2/4)*(1-E17)-E24*E14</f>
        <v>14482.954327786625</v>
      </c>
    </row>
    <row r="36" spans="1:5" x14ac:dyDescent="0.4">
      <c r="A36" t="s">
        <v>260</v>
      </c>
      <c r="B36" s="6">
        <f>B25*(B12+(B13-B12)*3/4)*(1-B17)-B25*B14</f>
        <v>15002.355759428705</v>
      </c>
      <c r="C36" s="6">
        <f>C25*(C12+(C13-C12)*3/4)*(1-C17)-C25*C14</f>
        <v>13195.945701699015</v>
      </c>
      <c r="D36" s="6">
        <f>D25*(D12+(D13-D12)*3/4)*(1-D17)-D25*D14</f>
        <v>12785.105432268125</v>
      </c>
      <c r="E36" s="6">
        <f>E25*(E12+(E13-E12)*3/4)*(1-E17)-E25*E14</f>
        <v>15002.355759428705</v>
      </c>
    </row>
    <row r="37" spans="1:5" x14ac:dyDescent="0.4">
      <c r="A37" t="s">
        <v>261</v>
      </c>
      <c r="B37" s="6">
        <f>B26*(B12+(B13-B12)*4/4)*(1-B17)-B26*B14</f>
        <v>15539.091165740885</v>
      </c>
      <c r="C37" s="6">
        <f>C26*(C12+(C13-C12)*4/4)*(1-C17)-C26*C14</f>
        <v>13236.615073096746</v>
      </c>
      <c r="D37" s="6">
        <f>D26*(D12+(D13-D12)*4/4)*(1-D17)-D26*D14</f>
        <v>12448.79798096109</v>
      </c>
      <c r="E37" s="6">
        <f>E26*(E12+(E13-E12)*4/4)*(1-E17)-E26*E14</f>
        <v>15539.091165740885</v>
      </c>
    </row>
    <row r="38" spans="1:5" x14ac:dyDescent="0.4">
      <c r="A38" t="s">
        <v>262</v>
      </c>
      <c r="B38" s="6">
        <f>B27*B13*(1-B17)-B27*B14</f>
        <v>16166.01715020259</v>
      </c>
      <c r="C38" s="6">
        <f>C27*C13*(1-C17)-C27*C14</f>
        <v>13421.245417526072</v>
      </c>
      <c r="D38" s="6">
        <f>D27*D13*(1-D17)-D27*D14</f>
        <v>12951.04581813097</v>
      </c>
      <c r="E38" s="6">
        <f>E27*E13*(1-E17)-E27*E14</f>
        <v>16166.01715020259</v>
      </c>
    </row>
    <row r="39" spans="1:5" x14ac:dyDescent="0.4">
      <c r="A39" t="s">
        <v>263</v>
      </c>
      <c r="B39" s="6">
        <f>B28*B13*(1-B17)-B28*B14</f>
        <v>16737.930273766215</v>
      </c>
      <c r="C39" s="6">
        <f>C28*C13*(1-C17)-C28*C14</f>
        <v>13630.348658611765</v>
      </c>
      <c r="D39" s="6">
        <f>D28*D13*(1-D17)-D28*D14</f>
        <v>13409.221322860658</v>
      </c>
      <c r="E39" s="6">
        <f>E28*E13*(1-E17)-E28*E14</f>
        <v>16737.930273766215</v>
      </c>
    </row>
    <row r="40" spans="1:5" x14ac:dyDescent="0.4">
      <c r="A40" t="s">
        <v>264</v>
      </c>
      <c r="B40" s="6">
        <f>B29*B13*(1-B17)-B29*B14</f>
        <v>17246.928970933815</v>
      </c>
      <c r="C40" s="6">
        <f>C29*C13*(1-C17)-C29*C14</f>
        <v>13864.948485108263</v>
      </c>
      <c r="D40" s="6">
        <f>D29*D13*(1-D17)-D29*D14</f>
        <v>13816.994331335041</v>
      </c>
      <c r="E40" s="6">
        <f>E29*E13*(1-E17)-E29*E14</f>
        <v>17246.928970933815</v>
      </c>
    </row>
    <row r="41" spans="1:5" x14ac:dyDescent="0.4">
      <c r="A41" t="s">
        <v>265</v>
      </c>
      <c r="B41" s="6">
        <f>B30*B13*(1-B17)-B30*B14</f>
        <v>17685.730487243876</v>
      </c>
      <c r="C41" s="6">
        <f>C30*C13*(1-C17)-C30*C14</f>
        <v>14126.207662395323</v>
      </c>
      <c r="D41" s="6">
        <f>D30*D13*(1-D17)-D30*D14</f>
        <v>14168.530426465664</v>
      </c>
      <c r="E41" s="6">
        <f>E30*E13*(1-E17)-E30*E14</f>
        <v>17685.730487243876</v>
      </c>
    </row>
    <row r="42" spans="1:5" x14ac:dyDescent="0.4">
      <c r="A42" t="s">
        <v>266</v>
      </c>
      <c r="B42" s="6">
        <f>B31*B13*(1-B17)-B31*B14</f>
        <v>18047.840556387939</v>
      </c>
      <c r="C42" s="6">
        <f>C31*C13*(1-C17)-C31*C14</f>
        <v>14415.437560875502</v>
      </c>
      <c r="D42" s="6">
        <f>D31*D13*(1-D17)-D31*D14</f>
        <v>14458.626870946582</v>
      </c>
      <c r="E42" s="6">
        <f>E31*E13*(1-E17)-E31*E14</f>
        <v>18047.840556387939</v>
      </c>
    </row>
    <row r="44" spans="1:5" x14ac:dyDescent="0.4">
      <c r="A44" t="s">
        <v>121</v>
      </c>
      <c r="B44" s="6">
        <f>B33/(1+B16)^1</f>
        <v>12860.763442435631</v>
      </c>
      <c r="C44" s="6">
        <f>C33/(1+C16)^1</f>
        <v>12454.807369942679</v>
      </c>
      <c r="D44" s="6">
        <f>D33/(1+D16)^1</f>
        <v>12860.763442435631</v>
      </c>
      <c r="E44" s="6">
        <f>E33/(1+E16)^1</f>
        <v>12781.347169833607</v>
      </c>
    </row>
    <row r="45" spans="1:5" x14ac:dyDescent="0.4">
      <c r="A45" t="s">
        <v>122</v>
      </c>
      <c r="B45" s="6">
        <f>B34/(1+B16)^2</f>
        <v>12698.705062756271</v>
      </c>
      <c r="C45" s="6">
        <f>C34/(1+C16)^2</f>
        <v>11909.676539964599</v>
      </c>
      <c r="D45" s="6">
        <f>D34/(1+D16)^2</f>
        <v>12084.319359835141</v>
      </c>
      <c r="E45" s="6">
        <f>E34/(1+E16)^2</f>
        <v>12542.358187680333</v>
      </c>
    </row>
    <row r="46" spans="1:5" x14ac:dyDescent="0.4">
      <c r="A46" t="s">
        <v>123</v>
      </c>
      <c r="B46" s="6">
        <f>B35/(1+B16)^3</f>
        <v>12537.682352784121</v>
      </c>
      <c r="C46" s="6">
        <f>C35/(1+C16)^3</f>
        <v>11387.491283873478</v>
      </c>
      <c r="D46" s="6">
        <f>D35/(1+D16)^3</f>
        <v>11313.524704706646</v>
      </c>
      <c r="E46" s="6">
        <f>E35/(1+E16)^3</f>
        <v>12306.849986946507</v>
      </c>
    </row>
    <row r="47" spans="1:5" x14ac:dyDescent="0.4">
      <c r="A47" t="s">
        <v>124</v>
      </c>
      <c r="B47" s="6">
        <f>B36/(1+B16)^4</f>
        <v>12377.689819860774</v>
      </c>
      <c r="C47" s="6">
        <f>C36/(1+C16)^4</f>
        <v>10887.311659217399</v>
      </c>
      <c r="D47" s="6">
        <f>D36/(1+D16)^4</f>
        <v>10548.347998971734</v>
      </c>
      <c r="E47" s="6">
        <f>E36/(1+E16)^4</f>
        <v>12074.777056611021</v>
      </c>
    </row>
    <row r="48" spans="1:5" x14ac:dyDescent="0.4">
      <c r="A48" t="s">
        <v>125</v>
      </c>
      <c r="B48" s="6">
        <f>B37/(1+B16)^5</f>
        <v>12218.721997973977</v>
      </c>
      <c r="C48" s="6">
        <f>C37/(1+C16)^5</f>
        <v>10408.235465465192</v>
      </c>
      <c r="D48" s="6">
        <f>D37/(1+D16)^5</f>
        <v>9788.7579212906276</v>
      </c>
      <c r="E48" s="6">
        <f>E37/(1+E16)^5</f>
        <v>11846.094445766845</v>
      </c>
    </row>
    <row r="49" spans="1:5" x14ac:dyDescent="0.4">
      <c r="A49" t="s">
        <v>157</v>
      </c>
      <c r="B49" s="6">
        <f>B38/(1+B16)^6</f>
        <v>12114.994970442831</v>
      </c>
      <c r="C49" s="6">
        <f>C38/(1+C16)^6</f>
        <v>10058.032180695143</v>
      </c>
      <c r="D49" s="6">
        <f>D38/(1+D16)^6</f>
        <v>9705.6593155145256</v>
      </c>
      <c r="E49" s="6">
        <f>E38/(1+E16)^6</f>
        <v>11673.001104773535</v>
      </c>
    </row>
    <row r="50" spans="1:5" x14ac:dyDescent="0.4">
      <c r="A50" t="s">
        <v>158</v>
      </c>
      <c r="B50" s="6">
        <f>B39/(1+B16)^7</f>
        <v>11954.791088514956</v>
      </c>
      <c r="C50" s="6">
        <f>C39/(1+C16)^7</f>
        <v>9735.2520898426865</v>
      </c>
      <c r="D50" s="6">
        <f>D39/(1+D16)^7</f>
        <v>9577.3155314016658</v>
      </c>
      <c r="E50" s="6">
        <f>E39/(1+E16)^7</f>
        <v>11447.51341209511</v>
      </c>
    </row>
    <row r="51" spans="1:5" x14ac:dyDescent="0.4">
      <c r="A51" t="s">
        <v>159</v>
      </c>
      <c r="B51" s="6">
        <f>B40/(1+B16)^8</f>
        <v>11740.106738111415</v>
      </c>
      <c r="C51" s="6">
        <f>C40/(1+C16)^8</f>
        <v>9437.9686614302718</v>
      </c>
      <c r="D51" s="6">
        <f>D40/(1+D16)^8</f>
        <v>9405.3259292208313</v>
      </c>
      <c r="E51" s="6">
        <f>E40/(1+E16)^8</f>
        <v>11172.518866211489</v>
      </c>
    </row>
    <row r="52" spans="1:5" x14ac:dyDescent="0.4">
      <c r="A52" t="s">
        <v>160</v>
      </c>
      <c r="B52" s="6">
        <f>B41/(1+B16)^9</f>
        <v>11473.695156882124</v>
      </c>
      <c r="C52" s="6">
        <f>C41/(1+C16)^9</f>
        <v>9164.4391255446935</v>
      </c>
      <c r="D52" s="6">
        <f>D41/(1+D16)^9</f>
        <v>9191.8962042042367</v>
      </c>
      <c r="E52" s="6">
        <f>E41/(1+E16)^9</f>
        <v>10851.561589802686</v>
      </c>
    </row>
    <row r="53" spans="1:5" x14ac:dyDescent="0.4">
      <c r="A53" t="s">
        <v>161</v>
      </c>
      <c r="B53" s="6">
        <f>B42/(1+B16)^10</f>
        <v>11159.007869271918</v>
      </c>
      <c r="C53" s="6">
        <f>C42/(1+C16)^10</f>
        <v>8913.0874510009708</v>
      </c>
      <c r="D53" s="6">
        <f>D42/(1+D16)^10</f>
        <v>8939.7914685506512</v>
      </c>
      <c r="E53" s="6">
        <f>E42/(1+E16)^10</f>
        <v>10488.766032321853</v>
      </c>
    </row>
    <row r="54" spans="1:5" x14ac:dyDescent="0.4">
      <c r="A54" t="s">
        <v>163</v>
      </c>
      <c r="B54" s="6">
        <f>SUM(B44:B53)</f>
        <v>121136.15849903401</v>
      </c>
      <c r="C54" s="6">
        <f>SUM(C44:C53)</f>
        <v>104356.30182697713</v>
      </c>
      <c r="D54" s="6">
        <f>SUM(D44:D53)</f>
        <v>103415.7018761317</v>
      </c>
      <c r="E54" s="6">
        <f>SUM(E44:E53)</f>
        <v>117184.78785204299</v>
      </c>
    </row>
    <row r="55" spans="1:5" x14ac:dyDescent="0.4">
      <c r="A55" t="s">
        <v>164</v>
      </c>
      <c r="B55" s="6">
        <f>B42*(1+B15)/MAX(B16-B15,0.01)</f>
        <v>639987.70437006152</v>
      </c>
      <c r="C55" s="6">
        <f>C42*(1+C15)/MAX(C16-C15,0.01)</f>
        <v>511180.42423137889</v>
      </c>
      <c r="D55" s="6">
        <f>D42*(1+D15)/MAX(D16-D15,0.01)</f>
        <v>512711.9441558462</v>
      </c>
      <c r="E55" s="6">
        <f>E42*(1+E15)/MAX(E16-E15,0.01)</f>
        <v>521780.30596365279</v>
      </c>
    </row>
    <row r="56" spans="1:5" x14ac:dyDescent="0.4">
      <c r="A56" t="s">
        <v>165</v>
      </c>
      <c r="B56" s="6">
        <f>B55/(1+B16)^10</f>
        <v>395705.39239804202</v>
      </c>
      <c r="C56" s="6">
        <f>C55/(1+C16)^10</f>
        <v>316063.65087244299</v>
      </c>
      <c r="D56" s="6">
        <f>D55/(1+D16)^10</f>
        <v>317010.59202230972</v>
      </c>
      <c r="E56" s="6">
        <f>E55/(1+E16)^10</f>
        <v>303240.24264437472</v>
      </c>
    </row>
    <row r="57" spans="1:5" x14ac:dyDescent="0.4">
      <c r="A57" t="s">
        <v>267</v>
      </c>
      <c r="B57" s="6">
        <f>B54+B56</f>
        <v>516841.55089707603</v>
      </c>
      <c r="C57" s="6">
        <f>C54+C56</f>
        <v>420419.9526994201</v>
      </c>
      <c r="D57" s="6">
        <f>D54+D56</f>
        <v>420426.29389844142</v>
      </c>
      <c r="E57" s="6">
        <f>E54+E56</f>
        <v>420425.03049641772</v>
      </c>
    </row>
    <row r="58" spans="1:5" x14ac:dyDescent="0.4">
      <c r="A58" t="s">
        <v>268</v>
      </c>
      <c r="B58" s="6">
        <f>B57+B18+B19</f>
        <v>263832.35089707602</v>
      </c>
      <c r="C58" s="6">
        <f>C57+C18+C19</f>
        <v>167410.75269942009</v>
      </c>
      <c r="D58" s="6">
        <f>D57+D18+D19</f>
        <v>167417.09389844141</v>
      </c>
      <c r="E58" s="6">
        <f>E57+E18+E19</f>
        <v>167415.83049641771</v>
      </c>
    </row>
    <row r="59" spans="1:5" x14ac:dyDescent="0.4">
      <c r="A59" s="4" t="s">
        <v>269</v>
      </c>
      <c r="B59" s="32">
        <f>B58/B20</f>
        <v>679.27999716033992</v>
      </c>
      <c r="C59" s="32">
        <f>C58/C20</f>
        <v>431.0266547358911</v>
      </c>
      <c r="D59" s="32">
        <f>D58/D20</f>
        <v>431.04298120093051</v>
      </c>
      <c r="E59" s="32">
        <f>E58/E20</f>
        <v>431.03972836358838</v>
      </c>
    </row>
    <row r="60" spans="1:5" x14ac:dyDescent="0.4">
      <c r="A60" t="s">
        <v>270</v>
      </c>
      <c r="B60" s="6">
        <f>B59-B5</f>
        <v>-2.8396600555424811E-6</v>
      </c>
      <c r="C60" s="6">
        <f>C59-B4</f>
        <v>-3.3452641088729251E-3</v>
      </c>
      <c r="D60" s="6">
        <f>D59-B4</f>
        <v>1.2981200930539671E-2</v>
      </c>
      <c r="E60" s="6">
        <f>E59-B4</f>
        <v>9.7283635884082287E-3</v>
      </c>
    </row>
    <row r="62" spans="1:5" x14ac:dyDescent="0.4">
      <c r="A62" s="3" t="s">
        <v>271</v>
      </c>
    </row>
    <row r="63" spans="1:5" x14ac:dyDescent="0.4">
      <c r="A63" t="s">
        <v>272</v>
      </c>
      <c r="B63" s="45">
        <v>1.2150000000000001</v>
      </c>
    </row>
    <row r="64" spans="1:5" x14ac:dyDescent="0.4">
      <c r="A64" t="s">
        <v>273</v>
      </c>
      <c r="B64" s="46">
        <v>7.1150000000000002</v>
      </c>
    </row>
    <row r="65" spans="1:3" x14ac:dyDescent="0.4">
      <c r="A65" t="s">
        <v>274</v>
      </c>
      <c r="B65" s="47">
        <v>14.045235</v>
      </c>
    </row>
    <row r="66" spans="1:3" x14ac:dyDescent="0.4">
      <c r="A66" t="s">
        <v>275</v>
      </c>
      <c r="B66" s="47">
        <v>13.279467</v>
      </c>
    </row>
    <row r="67" spans="1:3" x14ac:dyDescent="0.4">
      <c r="A67" t="s">
        <v>276</v>
      </c>
      <c r="B67" s="47">
        <v>2.5019138000000001</v>
      </c>
    </row>
    <row r="69" spans="1:3" x14ac:dyDescent="0.4">
      <c r="A69" s="4" t="s">
        <v>277</v>
      </c>
      <c r="B69" s="2" t="s">
        <v>278</v>
      </c>
      <c r="C69" s="2" t="s">
        <v>279</v>
      </c>
    </row>
    <row r="70" spans="1:3" x14ac:dyDescent="0.4">
      <c r="B70" s="48">
        <v>2025</v>
      </c>
      <c r="C70" s="49">
        <v>-2.82</v>
      </c>
    </row>
    <row r="71" spans="1:3" x14ac:dyDescent="0.4">
      <c r="B71" s="48">
        <v>2024</v>
      </c>
      <c r="C71" s="49">
        <v>-3.03</v>
      </c>
    </row>
    <row r="72" spans="1:3" x14ac:dyDescent="0.4">
      <c r="B72" s="48">
        <v>2023</v>
      </c>
      <c r="C72" s="49">
        <v>-3.71</v>
      </c>
    </row>
    <row r="73" spans="1:3" x14ac:dyDescent="0.4">
      <c r="B73" s="48">
        <v>2022</v>
      </c>
      <c r="C73" s="49">
        <v>-5.73</v>
      </c>
    </row>
    <row r="77" spans="1:3" x14ac:dyDescent="0.4">
      <c r="A77" s="3" t="s">
        <v>280</v>
      </c>
    </row>
    <row r="79" spans="1:3" x14ac:dyDescent="0.4">
      <c r="A79" t="s">
        <v>281</v>
      </c>
      <c r="B79" s="50">
        <v>142835</v>
      </c>
    </row>
    <row r="80" spans="1:3" x14ac:dyDescent="0.4">
      <c r="A80" t="s">
        <v>282</v>
      </c>
      <c r="B80" s="50">
        <v>239256</v>
      </c>
    </row>
    <row r="81" spans="1:2" x14ac:dyDescent="0.4">
      <c r="A81" t="s">
        <v>283</v>
      </c>
      <c r="B81" s="50">
        <v>20075</v>
      </c>
    </row>
    <row r="82" spans="1:2" x14ac:dyDescent="0.4">
      <c r="A82" t="s">
        <v>284</v>
      </c>
      <c r="B82" s="50">
        <v>19456</v>
      </c>
    </row>
    <row r="83" spans="1:2" x14ac:dyDescent="0.4">
      <c r="A83" s="4" t="s">
        <v>285</v>
      </c>
      <c r="B83" s="33">
        <f>IF(B81&gt;0,B79/B81,"")</f>
        <v>7.1150684931506847</v>
      </c>
    </row>
    <row r="84" spans="1:2" x14ac:dyDescent="0.4">
      <c r="A84" s="4" t="s">
        <v>286</v>
      </c>
      <c r="B84" s="33">
        <f>IF(B81&gt;0,B80/B81,"")</f>
        <v>11.918107098381071</v>
      </c>
    </row>
    <row r="85" spans="1:2" x14ac:dyDescent="0.4">
      <c r="A85" s="4" t="s">
        <v>287</v>
      </c>
      <c r="B85" s="33">
        <f>IF(B82&gt;0,B79/B82,"")</f>
        <v>7.3414370888157894</v>
      </c>
    </row>
    <row r="86" spans="1:2" x14ac:dyDescent="0.4">
      <c r="A86" s="4" t="s">
        <v>288</v>
      </c>
      <c r="B86" s="33">
        <f>IF(B82&gt;0,B80/B82,"")</f>
        <v>12.297286184210526</v>
      </c>
    </row>
    <row r="88" spans="1:2" x14ac:dyDescent="0.4">
      <c r="A88" s="4" t="s">
        <v>289</v>
      </c>
    </row>
    <row r="89" spans="1:2" x14ac:dyDescent="0.4">
      <c r="A89" t="s">
        <v>290</v>
      </c>
      <c r="B89" s="46"/>
    </row>
    <row r="90" spans="1:2" x14ac:dyDescent="0.4">
      <c r="A90" t="s">
        <v>291</v>
      </c>
      <c r="B90" s="46"/>
    </row>
    <row r="91" spans="1:2" x14ac:dyDescent="0.4">
      <c r="A91" t="s">
        <v>292</v>
      </c>
      <c r="B91" s="46"/>
    </row>
    <row r="93" spans="1:2" x14ac:dyDescent="0.4">
      <c r="A93" s="4" t="s">
        <v>293</v>
      </c>
      <c r="B93" s="51" t="s">
        <v>294</v>
      </c>
    </row>
    <row r="94" spans="1:2" x14ac:dyDescent="0.4">
      <c r="A94" t="s">
        <v>295</v>
      </c>
      <c r="B94" s="41" t="s">
        <v>296</v>
      </c>
    </row>
    <row r="96" spans="1:2" x14ac:dyDescent="0.4">
      <c r="A96" s="3" t="s">
        <v>297</v>
      </c>
    </row>
    <row r="97" spans="1:5" x14ac:dyDescent="0.4">
      <c r="A97" s="4" t="s">
        <v>298</v>
      </c>
      <c r="B97" s="52">
        <v>0.45800000000000002</v>
      </c>
    </row>
    <row r="98" spans="1:5" x14ac:dyDescent="0.4">
      <c r="A98" t="s">
        <v>299</v>
      </c>
      <c r="B98" s="46">
        <v>4.75</v>
      </c>
      <c r="C98" s="46">
        <v>6.5</v>
      </c>
      <c r="D98" s="46">
        <v>6.58</v>
      </c>
    </row>
    <row r="99" spans="1:5" x14ac:dyDescent="0.4">
      <c r="A99" s="4" t="s">
        <v>300</v>
      </c>
      <c r="B99" s="4" t="s">
        <v>301</v>
      </c>
      <c r="C99" s="4" t="s">
        <v>302</v>
      </c>
      <c r="D99" s="4" t="s">
        <v>303</v>
      </c>
      <c r="E99" s="4" t="s">
        <v>304</v>
      </c>
    </row>
    <row r="100" spans="1:5" x14ac:dyDescent="0.4">
      <c r="A100" s="48" t="s">
        <v>305</v>
      </c>
      <c r="B100" s="53">
        <v>0.873</v>
      </c>
      <c r="C100" s="53">
        <v>1.3129999999999999</v>
      </c>
      <c r="D100" s="53">
        <v>0.67300000000000004</v>
      </c>
    </row>
    <row r="101" spans="1:5" x14ac:dyDescent="0.4">
      <c r="A101" s="48" t="s">
        <v>306</v>
      </c>
      <c r="B101" s="53">
        <v>0.76500000000000001</v>
      </c>
      <c r="C101" s="53">
        <v>0.83099999999999996</v>
      </c>
      <c r="D101" s="53">
        <v>0.114</v>
      </c>
    </row>
    <row r="102" spans="1:5" x14ac:dyDescent="0.4">
      <c r="A102" s="48" t="s">
        <v>307</v>
      </c>
      <c r="B102" s="53">
        <v>0.70299999999999996</v>
      </c>
      <c r="C102" s="53">
        <v>0.80600000000000005</v>
      </c>
      <c r="D102" s="53">
        <v>0.19500000000000001</v>
      </c>
      <c r="E102" s="54">
        <v>6.5819999999999999</v>
      </c>
    </row>
    <row r="103" spans="1:5" x14ac:dyDescent="0.4">
      <c r="A103" s="48" t="s">
        <v>308</v>
      </c>
      <c r="B103" s="53">
        <v>0.74</v>
      </c>
      <c r="C103" s="53">
        <v>0.78300000000000003</v>
      </c>
      <c r="D103" s="53">
        <v>7.6999999999999999E-2</v>
      </c>
    </row>
    <row r="104" spans="1:5" x14ac:dyDescent="0.4">
      <c r="A104" s="48" t="s">
        <v>309</v>
      </c>
      <c r="B104" s="53">
        <v>0.872</v>
      </c>
      <c r="C104" s="53">
        <v>1.264</v>
      </c>
      <c r="D104" s="53">
        <v>0.59899999999999998</v>
      </c>
      <c r="E104" s="54">
        <v>4.75</v>
      </c>
    </row>
    <row r="105" spans="1:5" x14ac:dyDescent="0.4">
      <c r="A105" s="48" t="s">
        <v>310</v>
      </c>
      <c r="B105" s="53">
        <v>0.755</v>
      </c>
      <c r="C105" s="53">
        <v>0.87</v>
      </c>
      <c r="D105" s="53">
        <v>0.20399999999999999</v>
      </c>
      <c r="E105" s="54">
        <v>6.5030000000000001</v>
      </c>
    </row>
    <row r="106" spans="1:5" x14ac:dyDescent="0.4">
      <c r="A106" s="48" t="s">
        <v>6</v>
      </c>
      <c r="B106" s="53">
        <v>0.45800000000000002</v>
      </c>
      <c r="C106" s="53">
        <v>1.4890000000000001</v>
      </c>
      <c r="D106" s="53">
        <v>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311</v>
      </c>
    </row>
    <row r="2" spans="1:2" x14ac:dyDescent="0.4">
      <c r="A2" s="2" t="s">
        <v>312</v>
      </c>
    </row>
    <row r="4" spans="1:2" x14ac:dyDescent="0.4">
      <c r="A4" s="4" t="s">
        <v>313</v>
      </c>
      <c r="B4" s="30" t="s">
        <v>314</v>
      </c>
    </row>
    <row r="5" spans="1:2" x14ac:dyDescent="0.4">
      <c r="A5" s="4" t="s">
        <v>315</v>
      </c>
      <c r="B5" s="30" t="s">
        <v>316</v>
      </c>
    </row>
    <row r="6" spans="1:2" x14ac:dyDescent="0.4">
      <c r="A6" s="4" t="s">
        <v>317</v>
      </c>
      <c r="B6" s="30" t="s">
        <v>318</v>
      </c>
    </row>
    <row r="7" spans="1:2" x14ac:dyDescent="0.4">
      <c r="A7" s="4" t="s">
        <v>319</v>
      </c>
      <c r="B7" s="30" t="s">
        <v>320</v>
      </c>
    </row>
    <row r="8" spans="1:2" x14ac:dyDescent="0.4">
      <c r="A8" s="4" t="s">
        <v>321</v>
      </c>
      <c r="B8" s="30" t="s">
        <v>322</v>
      </c>
    </row>
    <row r="9" spans="1:2" x14ac:dyDescent="0.4">
      <c r="A9" s="4" t="s">
        <v>323</v>
      </c>
      <c r="B9" s="30" t="s">
        <v>324</v>
      </c>
    </row>
    <row r="10" spans="1:2" x14ac:dyDescent="0.4">
      <c r="A10" s="4" t="s">
        <v>325</v>
      </c>
      <c r="B10" s="30" t="s">
        <v>219</v>
      </c>
    </row>
    <row r="11" spans="1:2" x14ac:dyDescent="0.4">
      <c r="A11" s="4" t="s">
        <v>326</v>
      </c>
      <c r="B11" s="30" t="s">
        <v>327</v>
      </c>
    </row>
    <row r="12" spans="1:2" x14ac:dyDescent="0.4">
      <c r="A12" s="4" t="s">
        <v>328</v>
      </c>
      <c r="B12" s="30" t="s">
        <v>329</v>
      </c>
    </row>
    <row r="13" spans="1:2" x14ac:dyDescent="0.4">
      <c r="A13" s="4" t="s">
        <v>330</v>
      </c>
      <c r="B13" s="30" t="s">
        <v>331</v>
      </c>
    </row>
    <row r="14" spans="1:2" x14ac:dyDescent="0.4">
      <c r="A14" s="4" t="s">
        <v>332</v>
      </c>
      <c r="B14" s="30" t="s">
        <v>217</v>
      </c>
    </row>
    <row r="15" spans="1:2" x14ac:dyDescent="0.4">
      <c r="A15" s="4" t="s">
        <v>333</v>
      </c>
      <c r="B15" s="30" t="s">
        <v>219</v>
      </c>
    </row>
    <row r="16" spans="1:2" x14ac:dyDescent="0.4">
      <c r="A16" s="4" t="s">
        <v>334</v>
      </c>
      <c r="B16" s="30" t="s">
        <v>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2026-08-04T19:26:39Z</dcterms:modified>
</cp:coreProperties>
</file>