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BASF\2026-07-30_run1\"/>
    </mc:Choice>
  </mc:AlternateContent>
  <xr:revisionPtr revIDLastSave="0" documentId="13_ncr:1_{361590EA-A35B-4C09-ABB4-041BA91AE927}" xr6:coauthVersionLast="47" xr6:coauthVersionMax="47" xr10:uidLastSave="{00000000-0000-0000-0000-000000000000}"/>
  <bookViews>
    <workbookView xWindow="2263" yWindow="2263" windowWidth="18514" windowHeight="10740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26" i="7"/>
  <c r="B37" i="7" s="1"/>
  <c r="B48" i="7" s="1"/>
  <c r="D25" i="7"/>
  <c r="C25" i="7"/>
  <c r="B25" i="7"/>
  <c r="B36" i="7" s="1"/>
  <c r="B47" i="7" s="1"/>
  <c r="D24" i="7"/>
  <c r="C24" i="7"/>
  <c r="B24" i="7"/>
  <c r="B35" i="7" s="1"/>
  <c r="B46" i="7" s="1"/>
  <c r="D23" i="7"/>
  <c r="C23" i="7"/>
  <c r="B23" i="7"/>
  <c r="B34" i="7" s="1"/>
  <c r="B45" i="7" s="1"/>
  <c r="D22" i="7"/>
  <c r="C22" i="7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E14" i="7"/>
  <c r="D14" i="7"/>
  <c r="C14" i="7"/>
  <c r="E13" i="7"/>
  <c r="C13" i="7"/>
  <c r="C35" i="7" s="1"/>
  <c r="C46" i="7" s="1"/>
  <c r="E12" i="7"/>
  <c r="D12" i="7"/>
  <c r="C12" i="7"/>
  <c r="E11" i="7"/>
  <c r="D11" i="7"/>
  <c r="E10" i="7"/>
  <c r="D10" i="7"/>
  <c r="D26" i="7" s="1"/>
  <c r="C10" i="7"/>
  <c r="C26" i="7" s="1"/>
  <c r="B6" i="7"/>
  <c r="D9" i="5"/>
  <c r="D8" i="5"/>
  <c r="D7" i="5"/>
  <c r="D6" i="5"/>
  <c r="D5" i="5"/>
  <c r="D11" i="5" s="1"/>
  <c r="D12" i="5" s="1"/>
  <c r="K120" i="4"/>
  <c r="J106" i="4"/>
  <c r="I106" i="4"/>
  <c r="H104" i="4"/>
  <c r="D104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F64" i="4"/>
  <c r="F65" i="4" s="1"/>
  <c r="I63" i="4"/>
  <c r="H63" i="4"/>
  <c r="G63" i="4"/>
  <c r="D63" i="4"/>
  <c r="C63" i="4"/>
  <c r="F49" i="4"/>
  <c r="C47" i="4"/>
  <c r="J46" i="4"/>
  <c r="I46" i="4"/>
  <c r="H46" i="4"/>
  <c r="F46" i="4"/>
  <c r="E46" i="4"/>
  <c r="D46" i="4"/>
  <c r="C46" i="4"/>
  <c r="I45" i="4"/>
  <c r="F43" i="4"/>
  <c r="F55" i="4" s="1"/>
  <c r="H37" i="4"/>
  <c r="H43" i="4" s="1"/>
  <c r="H55" i="4" s="1"/>
  <c r="F37" i="4"/>
  <c r="J34" i="4"/>
  <c r="J40" i="4" s="1"/>
  <c r="H34" i="4"/>
  <c r="H40" i="4" s="1"/>
  <c r="H52" i="4" s="1"/>
  <c r="G34" i="4"/>
  <c r="G40" i="4" s="1"/>
  <c r="G52" i="4" s="1"/>
  <c r="J31" i="4"/>
  <c r="I31" i="4"/>
  <c r="H31" i="4"/>
  <c r="G31" i="4"/>
  <c r="F31" i="4"/>
  <c r="E31" i="4"/>
  <c r="D31" i="4"/>
  <c r="C31" i="4"/>
  <c r="J30" i="4"/>
  <c r="J36" i="4" s="1"/>
  <c r="J42" i="4" s="1"/>
  <c r="I30" i="4"/>
  <c r="I36" i="4" s="1"/>
  <c r="I42" i="4" s="1"/>
  <c r="H30" i="4"/>
  <c r="H36" i="4" s="1"/>
  <c r="H42" i="4" s="1"/>
  <c r="H54" i="4" s="1"/>
  <c r="G30" i="4"/>
  <c r="G36" i="4" s="1"/>
  <c r="G42" i="4" s="1"/>
  <c r="G54" i="4" s="1"/>
  <c r="F30" i="4"/>
  <c r="E30" i="4"/>
  <c r="E36" i="4" s="1"/>
  <c r="E42" i="4" s="1"/>
  <c r="E54" i="4" s="1"/>
  <c r="D30" i="4"/>
  <c r="D36" i="4" s="1"/>
  <c r="D42" i="4" s="1"/>
  <c r="D54" i="4" s="1"/>
  <c r="C30" i="4"/>
  <c r="C36" i="4" s="1"/>
  <c r="C42" i="4" s="1"/>
  <c r="J29" i="4"/>
  <c r="I29" i="4"/>
  <c r="H29" i="4"/>
  <c r="G29" i="4"/>
  <c r="F29" i="4"/>
  <c r="E29" i="4"/>
  <c r="D29" i="4"/>
  <c r="C29" i="4"/>
  <c r="J28" i="4"/>
  <c r="I28" i="4"/>
  <c r="H28" i="4"/>
  <c r="G28" i="4"/>
  <c r="F28" i="4"/>
  <c r="E28" i="4"/>
  <c r="D28" i="4"/>
  <c r="C28" i="4"/>
  <c r="C34" i="4" s="1"/>
  <c r="C40" i="4" s="1"/>
  <c r="C52" i="4" s="1"/>
  <c r="J27" i="4"/>
  <c r="I27" i="4"/>
  <c r="H27" i="4"/>
  <c r="G27" i="4"/>
  <c r="F27" i="4"/>
  <c r="E27" i="4"/>
  <c r="E33" i="4" s="1"/>
  <c r="E39" i="4" s="1"/>
  <c r="D27" i="4"/>
  <c r="C27" i="4"/>
  <c r="J25" i="4"/>
  <c r="I25" i="4"/>
  <c r="I49" i="4" s="1"/>
  <c r="H25" i="4"/>
  <c r="H49" i="4" s="1"/>
  <c r="G25" i="4"/>
  <c r="G37" i="4" s="1"/>
  <c r="G43" i="4" s="1"/>
  <c r="F25" i="4"/>
  <c r="F63" i="4" s="1"/>
  <c r="E25" i="4"/>
  <c r="E63" i="4" s="1"/>
  <c r="D25" i="4"/>
  <c r="C25" i="4"/>
  <c r="J24" i="4"/>
  <c r="J48" i="4" s="1"/>
  <c r="I24" i="4"/>
  <c r="I48" i="4" s="1"/>
  <c r="H24" i="4"/>
  <c r="H48" i="4" s="1"/>
  <c r="G24" i="4"/>
  <c r="G48" i="4" s="1"/>
  <c r="F24" i="4"/>
  <c r="E24" i="4"/>
  <c r="E48" i="4" s="1"/>
  <c r="D24" i="4"/>
  <c r="D48" i="4" s="1"/>
  <c r="C24" i="4"/>
  <c r="C48" i="4" s="1"/>
  <c r="J23" i="4"/>
  <c r="J47" i="4" s="1"/>
  <c r="I23" i="4"/>
  <c r="H23" i="4"/>
  <c r="G23" i="4"/>
  <c r="G47" i="4" s="1"/>
  <c r="F23" i="4"/>
  <c r="F47" i="4" s="1"/>
  <c r="E23" i="4"/>
  <c r="D23" i="4"/>
  <c r="D35" i="4" s="1"/>
  <c r="D41" i="4" s="1"/>
  <c r="C23" i="4"/>
  <c r="J22" i="4"/>
  <c r="I22" i="4"/>
  <c r="H22" i="4"/>
  <c r="G22" i="4"/>
  <c r="G46" i="4" s="1"/>
  <c r="F22" i="4"/>
  <c r="E22" i="4"/>
  <c r="D22" i="4"/>
  <c r="D34" i="4" s="1"/>
  <c r="D40" i="4" s="1"/>
  <c r="D52" i="4" s="1"/>
  <c r="C22" i="4"/>
  <c r="J21" i="4"/>
  <c r="I21" i="4"/>
  <c r="I33" i="4" s="1"/>
  <c r="I39" i="4" s="1"/>
  <c r="I51" i="4" s="1"/>
  <c r="H21" i="4"/>
  <c r="G21" i="4"/>
  <c r="F21" i="4"/>
  <c r="E21" i="4"/>
  <c r="E45" i="4" s="1"/>
  <c r="D21" i="4"/>
  <c r="D45" i="4" s="1"/>
  <c r="C21" i="4"/>
  <c r="K120" i="3"/>
  <c r="J106" i="3"/>
  <c r="I106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I49" i="3"/>
  <c r="F49" i="3"/>
  <c r="E49" i="3"/>
  <c r="D49" i="3"/>
  <c r="J48" i="3"/>
  <c r="G48" i="3"/>
  <c r="F48" i="3"/>
  <c r="E48" i="3"/>
  <c r="D48" i="3"/>
  <c r="J47" i="3"/>
  <c r="C47" i="3"/>
  <c r="I37" i="3"/>
  <c r="I43" i="3" s="1"/>
  <c r="C37" i="3"/>
  <c r="C43" i="3" s="1"/>
  <c r="C55" i="3" s="1"/>
  <c r="J36" i="3"/>
  <c r="J42" i="3" s="1"/>
  <c r="J54" i="3" s="1"/>
  <c r="H34" i="3"/>
  <c r="H40" i="3" s="1"/>
  <c r="I33" i="3"/>
  <c r="I39" i="3" s="1"/>
  <c r="J31" i="3"/>
  <c r="I31" i="3"/>
  <c r="H31" i="3"/>
  <c r="G31" i="3"/>
  <c r="F31" i="3"/>
  <c r="F37" i="3" s="1"/>
  <c r="F43" i="3" s="1"/>
  <c r="E31" i="3"/>
  <c r="D31" i="3"/>
  <c r="C31" i="3"/>
  <c r="J30" i="3"/>
  <c r="I30" i="3"/>
  <c r="H30" i="3"/>
  <c r="G30" i="3"/>
  <c r="G36" i="3" s="1"/>
  <c r="G42" i="3" s="1"/>
  <c r="G54" i="3" s="1"/>
  <c r="F30" i="3"/>
  <c r="E30" i="3"/>
  <c r="E36" i="3" s="1"/>
  <c r="E42" i="3" s="1"/>
  <c r="E54" i="3" s="1"/>
  <c r="D30" i="3"/>
  <c r="D36" i="3" s="1"/>
  <c r="D42" i="3" s="1"/>
  <c r="D54" i="3" s="1"/>
  <c r="C30" i="3"/>
  <c r="C36" i="3" s="1"/>
  <c r="C42" i="3" s="1"/>
  <c r="C54" i="3" s="1"/>
  <c r="J29" i="3"/>
  <c r="J35" i="3" s="1"/>
  <c r="J41" i="3" s="1"/>
  <c r="J53" i="3" s="1"/>
  <c r="I29" i="3"/>
  <c r="H29" i="3"/>
  <c r="G29" i="3"/>
  <c r="F29" i="3"/>
  <c r="E29" i="3"/>
  <c r="D29" i="3"/>
  <c r="C29" i="3"/>
  <c r="J28" i="3"/>
  <c r="I28" i="3"/>
  <c r="H28" i="3"/>
  <c r="G28" i="3"/>
  <c r="F28" i="3"/>
  <c r="E28" i="3"/>
  <c r="D28" i="3"/>
  <c r="C28" i="3"/>
  <c r="J27" i="3"/>
  <c r="I27" i="3"/>
  <c r="H27" i="3"/>
  <c r="G27" i="3"/>
  <c r="F27" i="3"/>
  <c r="E27" i="3"/>
  <c r="D27" i="3"/>
  <c r="C27" i="3"/>
  <c r="J25" i="3"/>
  <c r="I25" i="3"/>
  <c r="I63" i="3" s="1"/>
  <c r="H25" i="3"/>
  <c r="G25" i="3"/>
  <c r="F25" i="3"/>
  <c r="F63" i="3" s="1"/>
  <c r="E25" i="3"/>
  <c r="E63" i="3" s="1"/>
  <c r="D25" i="3"/>
  <c r="D63" i="3" s="1"/>
  <c r="D75" i="3" s="1"/>
  <c r="D81" i="3" s="1"/>
  <c r="C25" i="3"/>
  <c r="C49" i="3" s="1"/>
  <c r="J24" i="3"/>
  <c r="I24" i="3"/>
  <c r="I48" i="3" s="1"/>
  <c r="H24" i="3"/>
  <c r="G24" i="3"/>
  <c r="F24" i="3"/>
  <c r="E24" i="3"/>
  <c r="D24" i="3"/>
  <c r="C24" i="3"/>
  <c r="C48" i="3" s="1"/>
  <c r="J23" i="3"/>
  <c r="I23" i="3"/>
  <c r="I47" i="3" s="1"/>
  <c r="H23" i="3"/>
  <c r="H47" i="3" s="1"/>
  <c r="G23" i="3"/>
  <c r="G35" i="3" s="1"/>
  <c r="G41" i="3" s="1"/>
  <c r="F23" i="3"/>
  <c r="F47" i="3" s="1"/>
  <c r="E23" i="3"/>
  <c r="D23" i="3"/>
  <c r="C23" i="3"/>
  <c r="J22" i="3"/>
  <c r="I22" i="3"/>
  <c r="H22" i="3"/>
  <c r="H46" i="3" s="1"/>
  <c r="G22" i="3"/>
  <c r="F22" i="3"/>
  <c r="F46" i="3" s="1"/>
  <c r="E22" i="3"/>
  <c r="D22" i="3"/>
  <c r="C22" i="3"/>
  <c r="J21" i="3"/>
  <c r="I21" i="3"/>
  <c r="I45" i="3" s="1"/>
  <c r="H21" i="3"/>
  <c r="H45" i="3" s="1"/>
  <c r="G21" i="3"/>
  <c r="G33" i="3" s="1"/>
  <c r="G39" i="3" s="1"/>
  <c r="F21" i="3"/>
  <c r="F33" i="3" s="1"/>
  <c r="F39" i="3" s="1"/>
  <c r="E21" i="3"/>
  <c r="D21" i="3"/>
  <c r="D33" i="3" s="1"/>
  <c r="D39" i="3" s="1"/>
  <c r="C21" i="3"/>
  <c r="C45" i="3" s="1"/>
  <c r="E16" i="3"/>
  <c r="C16" i="3"/>
  <c r="K120" i="2"/>
  <c r="J106" i="2"/>
  <c r="I106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J63" i="2"/>
  <c r="H63" i="2"/>
  <c r="C63" i="2"/>
  <c r="F49" i="2"/>
  <c r="D49" i="2"/>
  <c r="E46" i="2"/>
  <c r="D46" i="2"/>
  <c r="C46" i="2"/>
  <c r="J45" i="2"/>
  <c r="I45" i="2"/>
  <c r="F45" i="2"/>
  <c r="C45" i="2"/>
  <c r="F37" i="2"/>
  <c r="F43" i="2" s="1"/>
  <c r="F55" i="2" s="1"/>
  <c r="E37" i="2"/>
  <c r="E43" i="2" s="1"/>
  <c r="J36" i="2"/>
  <c r="J42" i="2" s="1"/>
  <c r="J54" i="2" s="1"/>
  <c r="G36" i="2"/>
  <c r="G42" i="2" s="1"/>
  <c r="G54" i="2" s="1"/>
  <c r="F36" i="2"/>
  <c r="F42" i="2" s="1"/>
  <c r="F54" i="2" s="1"/>
  <c r="G34" i="2"/>
  <c r="G40" i="2" s="1"/>
  <c r="G52" i="2" s="1"/>
  <c r="E34" i="2"/>
  <c r="E40" i="2" s="1"/>
  <c r="J33" i="2"/>
  <c r="J39" i="2" s="1"/>
  <c r="J51" i="2" s="1"/>
  <c r="D33" i="2"/>
  <c r="D39" i="2" s="1"/>
  <c r="D51" i="2" s="1"/>
  <c r="D57" i="2" s="1"/>
  <c r="C33" i="2"/>
  <c r="C39" i="2" s="1"/>
  <c r="C51" i="2" s="1"/>
  <c r="J31" i="2"/>
  <c r="I31" i="2"/>
  <c r="H31" i="2"/>
  <c r="G31" i="2"/>
  <c r="F31" i="2"/>
  <c r="E31" i="2"/>
  <c r="D31" i="2"/>
  <c r="C31" i="2"/>
  <c r="J30" i="2"/>
  <c r="I30" i="2"/>
  <c r="H30" i="2"/>
  <c r="G30" i="2"/>
  <c r="F30" i="2"/>
  <c r="E30" i="2"/>
  <c r="D30" i="2"/>
  <c r="D36" i="2" s="1"/>
  <c r="D42" i="2" s="1"/>
  <c r="C30" i="2"/>
  <c r="J29" i="2"/>
  <c r="I29" i="2"/>
  <c r="I35" i="2" s="1"/>
  <c r="I41" i="2" s="1"/>
  <c r="I53" i="2" s="1"/>
  <c r="H29" i="2"/>
  <c r="G29" i="2"/>
  <c r="F29" i="2"/>
  <c r="F35" i="2" s="1"/>
  <c r="F41" i="2" s="1"/>
  <c r="F53" i="2" s="1"/>
  <c r="E29" i="2"/>
  <c r="D29" i="2"/>
  <c r="C29" i="2"/>
  <c r="J28" i="2"/>
  <c r="I28" i="2"/>
  <c r="H28" i="2"/>
  <c r="G28" i="2"/>
  <c r="F28" i="2"/>
  <c r="E28" i="2"/>
  <c r="D28" i="2"/>
  <c r="D34" i="2" s="1"/>
  <c r="D40" i="2" s="1"/>
  <c r="C28" i="2"/>
  <c r="J27" i="2"/>
  <c r="I27" i="2"/>
  <c r="H27" i="2"/>
  <c r="G27" i="2"/>
  <c r="F27" i="2"/>
  <c r="F33" i="2" s="1"/>
  <c r="F39" i="2" s="1"/>
  <c r="F51" i="2" s="1"/>
  <c r="E27" i="2"/>
  <c r="E33" i="2" s="1"/>
  <c r="E39" i="2" s="1"/>
  <c r="D27" i="2"/>
  <c r="C27" i="2"/>
  <c r="J25" i="2"/>
  <c r="J49" i="2" s="1"/>
  <c r="I25" i="2"/>
  <c r="I37" i="2" s="1"/>
  <c r="I43" i="2" s="1"/>
  <c r="H25" i="2"/>
  <c r="H49" i="2" s="1"/>
  <c r="G25" i="2"/>
  <c r="G63" i="2" s="1"/>
  <c r="F25" i="2"/>
  <c r="F63" i="2" s="1"/>
  <c r="E25" i="2"/>
  <c r="D25" i="2"/>
  <c r="C25" i="2"/>
  <c r="J24" i="2"/>
  <c r="J48" i="2" s="1"/>
  <c r="I24" i="2"/>
  <c r="H24" i="2"/>
  <c r="G24" i="2"/>
  <c r="G48" i="2" s="1"/>
  <c r="F24" i="2"/>
  <c r="F48" i="2" s="1"/>
  <c r="E24" i="2"/>
  <c r="D24" i="2"/>
  <c r="D48" i="2" s="1"/>
  <c r="C24" i="2"/>
  <c r="J23" i="2"/>
  <c r="I23" i="2"/>
  <c r="I47" i="2" s="1"/>
  <c r="H23" i="2"/>
  <c r="G23" i="2"/>
  <c r="F23" i="2"/>
  <c r="F47" i="2" s="1"/>
  <c r="E23" i="2"/>
  <c r="E47" i="2" s="1"/>
  <c r="D23" i="2"/>
  <c r="D47" i="2" s="1"/>
  <c r="C23" i="2"/>
  <c r="J22" i="2"/>
  <c r="I22" i="2"/>
  <c r="I34" i="2" s="1"/>
  <c r="I40" i="2" s="1"/>
  <c r="H22" i="2"/>
  <c r="H46" i="2" s="1"/>
  <c r="G22" i="2"/>
  <c r="G46" i="2" s="1"/>
  <c r="F22" i="2"/>
  <c r="E22" i="2"/>
  <c r="D22" i="2"/>
  <c r="C22" i="2"/>
  <c r="J21" i="2"/>
  <c r="I21" i="2"/>
  <c r="H21" i="2"/>
  <c r="G21" i="2"/>
  <c r="F21" i="2"/>
  <c r="E21" i="2"/>
  <c r="E45" i="2" s="1"/>
  <c r="D21" i="2"/>
  <c r="D45" i="2" s="1"/>
  <c r="C21" i="2"/>
  <c r="B37" i="1"/>
  <c r="B38" i="1" s="1"/>
  <c r="H104" i="2" s="1"/>
  <c r="B30" i="1"/>
  <c r="B29" i="1"/>
  <c r="C16" i="2" s="1"/>
  <c r="B28" i="1"/>
  <c r="D16" i="2" s="1"/>
  <c r="B23" i="1"/>
  <c r="B26" i="1" s="1"/>
  <c r="B31" i="1" s="1"/>
  <c r="B14" i="1"/>
  <c r="F87" i="3" l="1"/>
  <c r="F64" i="3"/>
  <c r="F75" i="3"/>
  <c r="F81" i="3" s="1"/>
  <c r="F93" i="3" s="1"/>
  <c r="H35" i="4"/>
  <c r="H41" i="4" s="1"/>
  <c r="E33" i="3"/>
  <c r="E39" i="3" s="1"/>
  <c r="E51" i="3" s="1"/>
  <c r="J35" i="2"/>
  <c r="J41" i="2" s="1"/>
  <c r="C36" i="2"/>
  <c r="C42" i="2" s="1"/>
  <c r="H36" i="3"/>
  <c r="H42" i="3" s="1"/>
  <c r="J54" i="4"/>
  <c r="F55" i="3"/>
  <c r="E34" i="3"/>
  <c r="E40" i="3" s="1"/>
  <c r="E52" i="3" s="1"/>
  <c r="E58" i="3" s="1"/>
  <c r="I33" i="2"/>
  <c r="I39" i="2" s="1"/>
  <c r="I51" i="2" s="1"/>
  <c r="G47" i="3"/>
  <c r="G53" i="3" s="1"/>
  <c r="E35" i="2"/>
  <c r="E41" i="2" s="1"/>
  <c r="E53" i="2" s="1"/>
  <c r="C48" i="2"/>
  <c r="H47" i="4"/>
  <c r="C37" i="4"/>
  <c r="C43" i="4" s="1"/>
  <c r="C37" i="7"/>
  <c r="C48" i="7" s="1"/>
  <c r="E45" i="3"/>
  <c r="D37" i="7"/>
  <c r="D48" i="7" s="1"/>
  <c r="D47" i="4"/>
  <c r="D53" i="4" s="1"/>
  <c r="G49" i="2"/>
  <c r="C35" i="3"/>
  <c r="C41" i="3" s="1"/>
  <c r="C53" i="3" s="1"/>
  <c r="D45" i="3"/>
  <c r="D51" i="3" s="1"/>
  <c r="E34" i="4"/>
  <c r="E40" i="4" s="1"/>
  <c r="E52" i="4" s="1"/>
  <c r="I34" i="3"/>
  <c r="I40" i="3" s="1"/>
  <c r="C33" i="3"/>
  <c r="C39" i="3" s="1"/>
  <c r="C51" i="3" s="1"/>
  <c r="C57" i="3" s="1"/>
  <c r="F45" i="3"/>
  <c r="F51" i="3" s="1"/>
  <c r="F57" i="3" s="1"/>
  <c r="C63" i="3"/>
  <c r="C75" i="3" s="1"/>
  <c r="C81" i="3" s="1"/>
  <c r="C57" i="2"/>
  <c r="I51" i="3"/>
  <c r="H52" i="3"/>
  <c r="F35" i="4"/>
  <c r="F41" i="4" s="1"/>
  <c r="F53" i="4" s="1"/>
  <c r="F59" i="4" s="1"/>
  <c r="F36" i="3"/>
  <c r="F42" i="3" s="1"/>
  <c r="F54" i="3" s="1"/>
  <c r="D52" i="2"/>
  <c r="G37" i="2"/>
  <c r="G43" i="2" s="1"/>
  <c r="G55" i="2" s="1"/>
  <c r="H36" i="2"/>
  <c r="H42" i="2" s="1"/>
  <c r="G45" i="3"/>
  <c r="G51" i="3" s="1"/>
  <c r="G57" i="3" s="1"/>
  <c r="C49" i="4"/>
  <c r="G35" i="4"/>
  <c r="G41" i="4" s="1"/>
  <c r="G53" i="4" s="1"/>
  <c r="G59" i="4" s="1"/>
  <c r="J35" i="4"/>
  <c r="J41" i="4" s="1"/>
  <c r="D34" i="3"/>
  <c r="D40" i="3" s="1"/>
  <c r="H35" i="3"/>
  <c r="H41" i="3" s="1"/>
  <c r="H53" i="3" s="1"/>
  <c r="G49" i="4"/>
  <c r="G55" i="4" s="1"/>
  <c r="C34" i="3"/>
  <c r="C40" i="3" s="1"/>
  <c r="F34" i="2"/>
  <c r="F40" i="2" s="1"/>
  <c r="H37" i="2"/>
  <c r="H43" i="2" s="1"/>
  <c r="H55" i="2" s="1"/>
  <c r="I34" i="4"/>
  <c r="I40" i="4" s="1"/>
  <c r="I52" i="4" s="1"/>
  <c r="D33" i="4"/>
  <c r="D39" i="4" s="1"/>
  <c r="D51" i="4" s="1"/>
  <c r="D35" i="2"/>
  <c r="D41" i="2" s="1"/>
  <c r="D53" i="2" s="1"/>
  <c r="J37" i="2"/>
  <c r="J43" i="2" s="1"/>
  <c r="J55" i="2" s="1"/>
  <c r="H33" i="3"/>
  <c r="H39" i="3" s="1"/>
  <c r="H51" i="3" s="1"/>
  <c r="D35" i="7"/>
  <c r="D46" i="7" s="1"/>
  <c r="F99" i="3"/>
  <c r="B27" i="7"/>
  <c r="E36" i="2"/>
  <c r="E42" i="2" s="1"/>
  <c r="E48" i="2"/>
  <c r="G87" i="2"/>
  <c r="G75" i="2"/>
  <c r="G81" i="2" s="1"/>
  <c r="G93" i="2" s="1"/>
  <c r="G99" i="2" s="1"/>
  <c r="J46" i="3"/>
  <c r="J34" i="3"/>
  <c r="J40" i="3" s="1"/>
  <c r="H63" i="3"/>
  <c r="H49" i="3"/>
  <c r="H37" i="3"/>
  <c r="H43" i="3" s="1"/>
  <c r="C27" i="7"/>
  <c r="H87" i="2"/>
  <c r="H75" i="2"/>
  <c r="H81" i="2" s="1"/>
  <c r="H93" i="2" s="1"/>
  <c r="H64" i="2"/>
  <c r="I87" i="3"/>
  <c r="I64" i="3"/>
  <c r="D27" i="7"/>
  <c r="J87" i="2"/>
  <c r="J64" i="2"/>
  <c r="J75" i="2"/>
  <c r="J81" i="2" s="1"/>
  <c r="J93" i="2" s="1"/>
  <c r="D35" i="3"/>
  <c r="D41" i="3" s="1"/>
  <c r="D47" i="3"/>
  <c r="J37" i="3"/>
  <c r="J43" i="3" s="1"/>
  <c r="J49" i="3"/>
  <c r="J63" i="3"/>
  <c r="E35" i="3"/>
  <c r="E41" i="3" s="1"/>
  <c r="E47" i="3"/>
  <c r="I64" i="4"/>
  <c r="I87" i="4"/>
  <c r="I75" i="4"/>
  <c r="I81" i="4" s="1"/>
  <c r="D54" i="2"/>
  <c r="F76" i="4"/>
  <c r="F82" i="4" s="1"/>
  <c r="F88" i="4"/>
  <c r="I46" i="3"/>
  <c r="I52" i="3" s="1"/>
  <c r="F87" i="2"/>
  <c r="F64" i="2"/>
  <c r="F75" i="2"/>
  <c r="F81" i="2" s="1"/>
  <c r="G37" i="3"/>
  <c r="G43" i="3" s="1"/>
  <c r="G49" i="3"/>
  <c r="G63" i="3"/>
  <c r="G33" i="2"/>
  <c r="G39" i="2" s="1"/>
  <c r="G45" i="2"/>
  <c r="H33" i="2"/>
  <c r="H39" i="2" s="1"/>
  <c r="H45" i="2"/>
  <c r="G64" i="2"/>
  <c r="I75" i="3"/>
  <c r="I81" i="3" s="1"/>
  <c r="H58" i="4"/>
  <c r="F89" i="4"/>
  <c r="F66" i="4"/>
  <c r="F77" i="4"/>
  <c r="F83" i="4" s="1"/>
  <c r="F95" i="4" s="1"/>
  <c r="J53" i="4"/>
  <c r="G104" i="2"/>
  <c r="E57" i="3"/>
  <c r="C52" i="3"/>
  <c r="C87" i="2"/>
  <c r="C75" i="2"/>
  <c r="C81" i="2" s="1"/>
  <c r="C93" i="2" s="1"/>
  <c r="C99" i="2" s="1"/>
  <c r="C64" i="2"/>
  <c r="E26" i="7"/>
  <c r="E25" i="7"/>
  <c r="E36" i="7" s="1"/>
  <c r="E47" i="7" s="1"/>
  <c r="E24" i="7"/>
  <c r="E35" i="7" s="1"/>
  <c r="E46" i="7" s="1"/>
  <c r="E23" i="7"/>
  <c r="E34" i="7" s="1"/>
  <c r="E45" i="7" s="1"/>
  <c r="E22" i="7"/>
  <c r="E33" i="7" s="1"/>
  <c r="E44" i="7" s="1"/>
  <c r="J107" i="3"/>
  <c r="C104" i="4"/>
  <c r="F104" i="2"/>
  <c r="D104" i="2"/>
  <c r="E104" i="2"/>
  <c r="I104" i="4"/>
  <c r="I58" i="4" s="1"/>
  <c r="C104" i="2"/>
  <c r="J104" i="4"/>
  <c r="J104" i="3"/>
  <c r="I104" i="3"/>
  <c r="G104" i="4"/>
  <c r="G61" i="4" s="1"/>
  <c r="G104" i="3"/>
  <c r="F104" i="4"/>
  <c r="F104" i="3"/>
  <c r="E104" i="4"/>
  <c r="E104" i="3"/>
  <c r="E60" i="3" s="1"/>
  <c r="H104" i="3"/>
  <c r="H59" i="3" s="1"/>
  <c r="D104" i="3"/>
  <c r="C104" i="3"/>
  <c r="C60" i="3" s="1"/>
  <c r="E51" i="2"/>
  <c r="I104" i="2"/>
  <c r="I107" i="2" s="1"/>
  <c r="D52" i="3"/>
  <c r="F61" i="3"/>
  <c r="J104" i="2"/>
  <c r="J52" i="4"/>
  <c r="I35" i="3"/>
  <c r="I41" i="3" s="1"/>
  <c r="I53" i="3" s="1"/>
  <c r="D37" i="2"/>
  <c r="D43" i="2" s="1"/>
  <c r="D55" i="2" s="1"/>
  <c r="D63" i="2"/>
  <c r="E75" i="3"/>
  <c r="E81" i="3" s="1"/>
  <c r="E87" i="3"/>
  <c r="F57" i="2"/>
  <c r="H48" i="3"/>
  <c r="H54" i="3" s="1"/>
  <c r="J16" i="3"/>
  <c r="J59" i="3" s="1"/>
  <c r="G16" i="2"/>
  <c r="G58" i="2" s="1"/>
  <c r="E16" i="4"/>
  <c r="E58" i="4" s="1"/>
  <c r="H16" i="2"/>
  <c r="H61" i="2" s="1"/>
  <c r="C16" i="4"/>
  <c r="C58" i="4" s="1"/>
  <c r="I16" i="3"/>
  <c r="I107" i="3" s="1"/>
  <c r="E16" i="2"/>
  <c r="E59" i="2" s="1"/>
  <c r="D16" i="3"/>
  <c r="I16" i="4"/>
  <c r="H16" i="4"/>
  <c r="G16" i="4"/>
  <c r="D16" i="4"/>
  <c r="D57" i="4" s="1"/>
  <c r="F16" i="4"/>
  <c r="H16" i="3"/>
  <c r="G16" i="3"/>
  <c r="F16" i="3"/>
  <c r="J16" i="4"/>
  <c r="J107" i="4" s="1"/>
  <c r="H60" i="4"/>
  <c r="J34" i="2"/>
  <c r="J40" i="2" s="1"/>
  <c r="C45" i="4"/>
  <c r="C33" i="4"/>
  <c r="C39" i="4" s="1"/>
  <c r="C51" i="4" s="1"/>
  <c r="I47" i="4"/>
  <c r="I35" i="4"/>
  <c r="I41" i="4" s="1"/>
  <c r="I53" i="4" s="1"/>
  <c r="I59" i="4" s="1"/>
  <c r="C47" i="2"/>
  <c r="C35" i="2"/>
  <c r="C41" i="2" s="1"/>
  <c r="C53" i="2" s="1"/>
  <c r="C59" i="2" s="1"/>
  <c r="I63" i="2"/>
  <c r="I49" i="2"/>
  <c r="I55" i="2" s="1"/>
  <c r="I61" i="2" s="1"/>
  <c r="I36" i="3"/>
  <c r="I42" i="3" s="1"/>
  <c r="I54" i="3" s="1"/>
  <c r="I60" i="3" s="1"/>
  <c r="E64" i="3"/>
  <c r="C54" i="4"/>
  <c r="C34" i="7"/>
  <c r="C45" i="7" s="1"/>
  <c r="F46" i="2"/>
  <c r="F52" i="2" s="1"/>
  <c r="I16" i="2"/>
  <c r="G35" i="2"/>
  <c r="G41" i="2" s="1"/>
  <c r="G47" i="2"/>
  <c r="I55" i="3"/>
  <c r="D46" i="3"/>
  <c r="H45" i="4"/>
  <c r="H33" i="4"/>
  <c r="H39" i="4" s="1"/>
  <c r="H51" i="4" s="1"/>
  <c r="H57" i="4" s="1"/>
  <c r="J60" i="4"/>
  <c r="C75" i="4"/>
  <c r="C81" i="4" s="1"/>
  <c r="C64" i="4"/>
  <c r="C87" i="4"/>
  <c r="J16" i="2"/>
  <c r="J107" i="2" s="1"/>
  <c r="H47" i="2"/>
  <c r="H35" i="2"/>
  <c r="H41" i="2" s="1"/>
  <c r="H53" i="2" s="1"/>
  <c r="H59" i="2" s="1"/>
  <c r="J46" i="2"/>
  <c r="F34" i="3"/>
  <c r="F40" i="3" s="1"/>
  <c r="F52" i="3" s="1"/>
  <c r="D37" i="3"/>
  <c r="D43" i="3" s="1"/>
  <c r="D55" i="3" s="1"/>
  <c r="E46" i="3"/>
  <c r="D75" i="4"/>
  <c r="D81" i="4" s="1"/>
  <c r="D64" i="4"/>
  <c r="D87" i="4"/>
  <c r="J33" i="3"/>
  <c r="J39" i="3" s="1"/>
  <c r="J45" i="3"/>
  <c r="D34" i="7"/>
  <c r="D45" i="7" s="1"/>
  <c r="F16" i="2"/>
  <c r="F61" i="2" s="1"/>
  <c r="E52" i="2"/>
  <c r="H34" i="2"/>
  <c r="H40" i="2" s="1"/>
  <c r="H52" i="2" s="1"/>
  <c r="G34" i="3"/>
  <c r="G40" i="3" s="1"/>
  <c r="G52" i="3" s="1"/>
  <c r="E37" i="3"/>
  <c r="E43" i="3" s="1"/>
  <c r="E55" i="3" s="1"/>
  <c r="J45" i="4"/>
  <c r="J33" i="4"/>
  <c r="J39" i="4" s="1"/>
  <c r="J51" i="4" s="1"/>
  <c r="J57" i="4" s="1"/>
  <c r="G64" i="4"/>
  <c r="G75" i="4"/>
  <c r="G81" i="4" s="1"/>
  <c r="G87" i="4"/>
  <c r="C36" i="7"/>
  <c r="C47" i="7" s="1"/>
  <c r="D64" i="3"/>
  <c r="D87" i="3"/>
  <c r="D93" i="3" s="1"/>
  <c r="F45" i="4"/>
  <c r="F33" i="4"/>
  <c r="F39" i="4" s="1"/>
  <c r="F51" i="4" s="1"/>
  <c r="C46" i="3"/>
  <c r="G45" i="4"/>
  <c r="G33" i="4"/>
  <c r="G39" i="4" s="1"/>
  <c r="G51" i="4" s="1"/>
  <c r="G57" i="4" s="1"/>
  <c r="I54" i="4"/>
  <c r="I60" i="4" s="1"/>
  <c r="I46" i="2"/>
  <c r="I52" i="2" s="1"/>
  <c r="F36" i="4"/>
  <c r="F42" i="4" s="1"/>
  <c r="F48" i="4"/>
  <c r="H61" i="4"/>
  <c r="J53" i="2"/>
  <c r="G46" i="3"/>
  <c r="H64" i="4"/>
  <c r="H87" i="4"/>
  <c r="H75" i="4"/>
  <c r="H81" i="4" s="1"/>
  <c r="H93" i="4" s="1"/>
  <c r="H99" i="4" s="1"/>
  <c r="D36" i="7"/>
  <c r="D47" i="7" s="1"/>
  <c r="F34" i="4"/>
  <c r="F40" i="4" s="1"/>
  <c r="F52" i="4" s="1"/>
  <c r="F58" i="4" s="1"/>
  <c r="D37" i="4"/>
  <c r="D43" i="4" s="1"/>
  <c r="D49" i="4"/>
  <c r="C33" i="7"/>
  <c r="C44" i="7" s="1"/>
  <c r="E75" i="4"/>
  <c r="E81" i="4" s="1"/>
  <c r="E93" i="4" s="1"/>
  <c r="E87" i="4"/>
  <c r="E64" i="4"/>
  <c r="E37" i="4"/>
  <c r="E43" i="4" s="1"/>
  <c r="D33" i="7"/>
  <c r="D44" i="7" s="1"/>
  <c r="J47" i="2"/>
  <c r="F87" i="4"/>
  <c r="F75" i="4"/>
  <c r="F81" i="4" s="1"/>
  <c r="F93" i="4" s="1"/>
  <c r="E49" i="4"/>
  <c r="E51" i="4"/>
  <c r="H48" i="2"/>
  <c r="J37" i="4"/>
  <c r="J43" i="4" s="1"/>
  <c r="J63" i="4"/>
  <c r="C34" i="2"/>
  <c r="C40" i="2" s="1"/>
  <c r="C52" i="2" s="1"/>
  <c r="C58" i="2" s="1"/>
  <c r="I36" i="2"/>
  <c r="I42" i="2" s="1"/>
  <c r="I48" i="2"/>
  <c r="E35" i="4"/>
  <c r="E41" i="4" s="1"/>
  <c r="E47" i="4"/>
  <c r="F35" i="3"/>
  <c r="F41" i="3" s="1"/>
  <c r="F53" i="3" s="1"/>
  <c r="F59" i="3" s="1"/>
  <c r="C37" i="2"/>
  <c r="C43" i="2" s="1"/>
  <c r="C49" i="2"/>
  <c r="J49" i="4"/>
  <c r="E63" i="2"/>
  <c r="E49" i="2"/>
  <c r="E55" i="2" s="1"/>
  <c r="E61" i="2" s="1"/>
  <c r="C35" i="4"/>
  <c r="C41" i="4" s="1"/>
  <c r="C53" i="4" s="1"/>
  <c r="I37" i="4"/>
  <c r="I43" i="4" s="1"/>
  <c r="I55" i="4" s="1"/>
  <c r="H54" i="2" l="1"/>
  <c r="G58" i="4"/>
  <c r="D60" i="4"/>
  <c r="C61" i="3"/>
  <c r="I58" i="3"/>
  <c r="H53" i="4"/>
  <c r="H59" i="4" s="1"/>
  <c r="G51" i="2"/>
  <c r="E61" i="3"/>
  <c r="G59" i="3"/>
  <c r="F61" i="4"/>
  <c r="C64" i="3"/>
  <c r="C65" i="3" s="1"/>
  <c r="D58" i="4"/>
  <c r="H57" i="3"/>
  <c r="F60" i="3"/>
  <c r="F101" i="4"/>
  <c r="F99" i="4"/>
  <c r="C59" i="3"/>
  <c r="D58" i="2"/>
  <c r="J60" i="3"/>
  <c r="I93" i="4"/>
  <c r="I99" i="4" s="1"/>
  <c r="F65" i="3"/>
  <c r="F76" i="3"/>
  <c r="F82" i="3" s="1"/>
  <c r="F94" i="3" s="1"/>
  <c r="F100" i="3" s="1"/>
  <c r="F88" i="3"/>
  <c r="D57" i="3"/>
  <c r="C55" i="2"/>
  <c r="C61" i="2" s="1"/>
  <c r="C54" i="2"/>
  <c r="C60" i="2" s="1"/>
  <c r="J55" i="4"/>
  <c r="J61" i="4" s="1"/>
  <c r="C87" i="3"/>
  <c r="C93" i="3" s="1"/>
  <c r="C99" i="3" s="1"/>
  <c r="C55" i="4"/>
  <c r="H60" i="3"/>
  <c r="G58" i="3"/>
  <c r="I57" i="2"/>
  <c r="F58" i="2"/>
  <c r="I61" i="4"/>
  <c r="I93" i="3"/>
  <c r="J52" i="3"/>
  <c r="J58" i="3" s="1"/>
  <c r="D55" i="4"/>
  <c r="D61" i="4" s="1"/>
  <c r="G93" i="4"/>
  <c r="G99" i="4" s="1"/>
  <c r="F67" i="4"/>
  <c r="F90" i="4"/>
  <c r="F78" i="4"/>
  <c r="F84" i="4" s="1"/>
  <c r="I54" i="2"/>
  <c r="I60" i="2" s="1"/>
  <c r="C65" i="4"/>
  <c r="C88" i="4"/>
  <c r="C76" i="4"/>
  <c r="C82" i="4" s="1"/>
  <c r="J59" i="2"/>
  <c r="J99" i="2"/>
  <c r="I59" i="2"/>
  <c r="E37" i="7"/>
  <c r="E48" i="7" s="1"/>
  <c r="E27" i="7"/>
  <c r="D38" i="7"/>
  <c r="D49" i="7" s="1"/>
  <c r="D28" i="7"/>
  <c r="F54" i="4"/>
  <c r="F60" i="4" s="1"/>
  <c r="C88" i="2"/>
  <c r="C65" i="2"/>
  <c r="C76" i="2"/>
  <c r="C82" i="2" s="1"/>
  <c r="C94" i="2" s="1"/>
  <c r="C100" i="2" s="1"/>
  <c r="J51" i="3"/>
  <c r="J57" i="3" s="1"/>
  <c r="D64" i="2"/>
  <c r="D87" i="2"/>
  <c r="D75" i="2"/>
  <c r="D81" i="2" s="1"/>
  <c r="D93" i="2" s="1"/>
  <c r="D99" i="2" s="1"/>
  <c r="D60" i="2"/>
  <c r="H88" i="2"/>
  <c r="H76" i="2"/>
  <c r="H82" i="2" s="1"/>
  <c r="H65" i="2"/>
  <c r="G60" i="2"/>
  <c r="I87" i="2"/>
  <c r="I64" i="2"/>
  <c r="I75" i="2"/>
  <c r="I81" i="2" s="1"/>
  <c r="E53" i="4"/>
  <c r="E59" i="4" s="1"/>
  <c r="J55" i="3"/>
  <c r="J61" i="3" s="1"/>
  <c r="J64" i="4"/>
  <c r="J87" i="4"/>
  <c r="J75" i="4"/>
  <c r="J81" i="4" s="1"/>
  <c r="E54" i="2"/>
  <c r="E60" i="2" s="1"/>
  <c r="H88" i="4"/>
  <c r="H76" i="4"/>
  <c r="H82" i="4" s="1"/>
  <c r="H94" i="4" s="1"/>
  <c r="H100" i="4" s="1"/>
  <c r="H65" i="4"/>
  <c r="E57" i="2"/>
  <c r="D60" i="3"/>
  <c r="C57" i="4"/>
  <c r="I99" i="3"/>
  <c r="I57" i="3"/>
  <c r="J52" i="2"/>
  <c r="J58" i="2" s="1"/>
  <c r="C61" i="4"/>
  <c r="G57" i="2"/>
  <c r="G60" i="3"/>
  <c r="E55" i="4"/>
  <c r="E61" i="4" s="1"/>
  <c r="E88" i="4"/>
  <c r="E76" i="4"/>
  <c r="E82" i="4" s="1"/>
  <c r="E65" i="4"/>
  <c r="F57" i="4"/>
  <c r="I59" i="3"/>
  <c r="C38" i="7"/>
  <c r="C49" i="7" s="1"/>
  <c r="C28" i="7"/>
  <c r="D59" i="4"/>
  <c r="J64" i="3"/>
  <c r="J87" i="3"/>
  <c r="J75" i="3"/>
  <c r="J81" i="3" s="1"/>
  <c r="J93" i="3" s="1"/>
  <c r="J99" i="3" s="1"/>
  <c r="J57" i="2"/>
  <c r="C93" i="4"/>
  <c r="C99" i="4" s="1"/>
  <c r="J61" i="2"/>
  <c r="E58" i="2"/>
  <c r="J65" i="2"/>
  <c r="J76" i="2"/>
  <c r="J82" i="2" s="1"/>
  <c r="J88" i="2"/>
  <c r="E57" i="4"/>
  <c r="E60" i="4"/>
  <c r="I76" i="3"/>
  <c r="I82" i="3" s="1"/>
  <c r="I65" i="3"/>
  <c r="I88" i="3"/>
  <c r="C58" i="3"/>
  <c r="C59" i="4"/>
  <c r="I88" i="4"/>
  <c r="I65" i="4"/>
  <c r="I76" i="4"/>
  <c r="I82" i="4" s="1"/>
  <c r="I94" i="4" s="1"/>
  <c r="I100" i="4" s="1"/>
  <c r="E87" i="2"/>
  <c r="E75" i="2"/>
  <c r="E81" i="2" s="1"/>
  <c r="E64" i="2"/>
  <c r="G60" i="4"/>
  <c r="J58" i="4"/>
  <c r="G55" i="3"/>
  <c r="G61" i="3" s="1"/>
  <c r="H58" i="3"/>
  <c r="H55" i="3"/>
  <c r="H61" i="3" s="1"/>
  <c r="E53" i="3"/>
  <c r="E59" i="3" s="1"/>
  <c r="G88" i="4"/>
  <c r="G65" i="4"/>
  <c r="G76" i="4"/>
  <c r="G82" i="4" s="1"/>
  <c r="G94" i="4" s="1"/>
  <c r="G100" i="4" s="1"/>
  <c r="D59" i="2"/>
  <c r="F94" i="4"/>
  <c r="F100" i="4" s="1"/>
  <c r="I61" i="3"/>
  <c r="I58" i="2"/>
  <c r="H99" i="2"/>
  <c r="D88" i="4"/>
  <c r="D76" i="4"/>
  <c r="D82" i="4" s="1"/>
  <c r="D65" i="4"/>
  <c r="E99" i="4"/>
  <c r="C88" i="3"/>
  <c r="D58" i="3"/>
  <c r="B38" i="7"/>
  <c r="B49" i="7" s="1"/>
  <c r="B28" i="7"/>
  <c r="D53" i="3"/>
  <c r="D59" i="3" s="1"/>
  <c r="H58" i="2"/>
  <c r="J60" i="2"/>
  <c r="H60" i="2"/>
  <c r="G65" i="2"/>
  <c r="G76" i="2"/>
  <c r="G82" i="2" s="1"/>
  <c r="G88" i="2"/>
  <c r="F59" i="2"/>
  <c r="H51" i="2"/>
  <c r="H57" i="2" s="1"/>
  <c r="G53" i="2"/>
  <c r="G59" i="2" s="1"/>
  <c r="E93" i="3"/>
  <c r="E99" i="3" s="1"/>
  <c r="D61" i="2"/>
  <c r="D93" i="4"/>
  <c r="D99" i="4" s="1"/>
  <c r="G64" i="3"/>
  <c r="G87" i="3"/>
  <c r="G75" i="3"/>
  <c r="G81" i="3" s="1"/>
  <c r="G93" i="3" s="1"/>
  <c r="G99" i="3" s="1"/>
  <c r="D99" i="3"/>
  <c r="D61" i="3"/>
  <c r="C60" i="4"/>
  <c r="J59" i="4"/>
  <c r="F93" i="2"/>
  <c r="F99" i="2" s="1"/>
  <c r="D65" i="3"/>
  <c r="D76" i="3"/>
  <c r="D82" i="3" s="1"/>
  <c r="D88" i="3"/>
  <c r="F58" i="3"/>
  <c r="E76" i="3"/>
  <c r="E82" i="3" s="1"/>
  <c r="E65" i="3"/>
  <c r="E88" i="3"/>
  <c r="I57" i="4"/>
  <c r="I107" i="4"/>
  <c r="G61" i="2"/>
  <c r="F65" i="2"/>
  <c r="F88" i="2"/>
  <c r="F76" i="2"/>
  <c r="F82" i="2" s="1"/>
  <c r="H87" i="3"/>
  <c r="H64" i="3"/>
  <c r="H75" i="3"/>
  <c r="H81" i="3" s="1"/>
  <c r="H93" i="3" s="1"/>
  <c r="H99" i="3" s="1"/>
  <c r="F60" i="2"/>
  <c r="F89" i="3" l="1"/>
  <c r="F77" i="3"/>
  <c r="F83" i="3" s="1"/>
  <c r="F95" i="3" s="1"/>
  <c r="F101" i="3" s="1"/>
  <c r="F66" i="3"/>
  <c r="F96" i="4"/>
  <c r="F102" i="4" s="1"/>
  <c r="C76" i="3"/>
  <c r="C82" i="3" s="1"/>
  <c r="C94" i="3" s="1"/>
  <c r="C100" i="3" s="1"/>
  <c r="F94" i="2"/>
  <c r="F100" i="2" s="1"/>
  <c r="I93" i="2"/>
  <c r="I99" i="2" s="1"/>
  <c r="I94" i="3"/>
  <c r="I100" i="3" s="1"/>
  <c r="C94" i="4"/>
  <c r="C100" i="4" s="1"/>
  <c r="E38" i="7"/>
  <c r="E49" i="7" s="1"/>
  <c r="E28" i="7"/>
  <c r="D94" i="3"/>
  <c r="D100" i="3" s="1"/>
  <c r="G94" i="2"/>
  <c r="G100" i="2" s="1"/>
  <c r="J66" i="2"/>
  <c r="J77" i="2"/>
  <c r="J83" i="2" s="1"/>
  <c r="J89" i="2"/>
  <c r="H94" i="2"/>
  <c r="H100" i="2" s="1"/>
  <c r="C77" i="4"/>
  <c r="C83" i="4" s="1"/>
  <c r="C66" i="4"/>
  <c r="C89" i="4"/>
  <c r="E93" i="2"/>
  <c r="E99" i="2" s="1"/>
  <c r="D88" i="2"/>
  <c r="D65" i="2"/>
  <c r="D76" i="2"/>
  <c r="D82" i="2" s="1"/>
  <c r="I89" i="3"/>
  <c r="I66" i="3"/>
  <c r="I77" i="3"/>
  <c r="I83" i="3" s="1"/>
  <c r="I95" i="3" s="1"/>
  <c r="I101" i="3" s="1"/>
  <c r="E77" i="3"/>
  <c r="E83" i="3" s="1"/>
  <c r="E66" i="3"/>
  <c r="E89" i="3"/>
  <c r="G66" i="2"/>
  <c r="G77" i="2"/>
  <c r="G83" i="2" s="1"/>
  <c r="G89" i="2"/>
  <c r="F89" i="2"/>
  <c r="F66" i="2"/>
  <c r="F77" i="2"/>
  <c r="F83" i="2" s="1"/>
  <c r="C66" i="2"/>
  <c r="C89" i="2"/>
  <c r="C77" i="2"/>
  <c r="C83" i="2" s="1"/>
  <c r="J65" i="4"/>
  <c r="J88" i="4"/>
  <c r="J76" i="4"/>
  <c r="J82" i="4" s="1"/>
  <c r="E94" i="3"/>
  <c r="E100" i="3" s="1"/>
  <c r="J94" i="2"/>
  <c r="J100" i="2" s="1"/>
  <c r="D77" i="3"/>
  <c r="D83" i="3" s="1"/>
  <c r="D89" i="3"/>
  <c r="D66" i="3"/>
  <c r="J65" i="3"/>
  <c r="J76" i="3"/>
  <c r="J82" i="3" s="1"/>
  <c r="J88" i="3"/>
  <c r="C29" i="7"/>
  <c r="C39" i="7"/>
  <c r="C50" i="7" s="1"/>
  <c r="C66" i="3"/>
  <c r="C77" i="3"/>
  <c r="C83" i="3" s="1"/>
  <c r="C89" i="3"/>
  <c r="H89" i="4"/>
  <c r="H66" i="4"/>
  <c r="H77" i="4"/>
  <c r="H83" i="4" s="1"/>
  <c r="H95" i="4" s="1"/>
  <c r="H101" i="4" s="1"/>
  <c r="D77" i="4"/>
  <c r="D83" i="4" s="1"/>
  <c r="D89" i="4"/>
  <c r="D66" i="4"/>
  <c r="D94" i="4"/>
  <c r="D100" i="4" s="1"/>
  <c r="G77" i="4"/>
  <c r="G83" i="4" s="1"/>
  <c r="G89" i="4"/>
  <c r="G66" i="4"/>
  <c r="I76" i="2"/>
  <c r="I82" i="2" s="1"/>
  <c r="I88" i="2"/>
  <c r="I65" i="2"/>
  <c r="F91" i="4"/>
  <c r="F79" i="4"/>
  <c r="F85" i="4" s="1"/>
  <c r="F97" i="4" s="1"/>
  <c r="H89" i="2"/>
  <c r="H66" i="2"/>
  <c r="H77" i="2"/>
  <c r="H83" i="2" s="1"/>
  <c r="H95" i="2" s="1"/>
  <c r="H101" i="2" s="1"/>
  <c r="B39" i="7"/>
  <c r="B50" i="7" s="1"/>
  <c r="B29" i="7"/>
  <c r="H76" i="3"/>
  <c r="H82" i="3" s="1"/>
  <c r="H65" i="3"/>
  <c r="H88" i="3"/>
  <c r="E76" i="2"/>
  <c r="E82" i="2" s="1"/>
  <c r="E65" i="2"/>
  <c r="E88" i="2"/>
  <c r="G65" i="3"/>
  <c r="G76" i="3"/>
  <c r="G82" i="3" s="1"/>
  <c r="G88" i="3"/>
  <c r="I77" i="4"/>
  <c r="I83" i="4" s="1"/>
  <c r="I66" i="4"/>
  <c r="I89" i="4"/>
  <c r="E89" i="4"/>
  <c r="E66" i="4"/>
  <c r="E77" i="4"/>
  <c r="E83" i="4" s="1"/>
  <c r="E95" i="4" s="1"/>
  <c r="E101" i="4" s="1"/>
  <c r="E94" i="4"/>
  <c r="E100" i="4" s="1"/>
  <c r="J93" i="4"/>
  <c r="J99" i="4" s="1"/>
  <c r="D29" i="7"/>
  <c r="D39" i="7"/>
  <c r="D50" i="7" s="1"/>
  <c r="J94" i="4" l="1"/>
  <c r="J100" i="4" s="1"/>
  <c r="F67" i="3"/>
  <c r="F90" i="3"/>
  <c r="F78" i="3"/>
  <c r="F84" i="3" s="1"/>
  <c r="F96" i="3" s="1"/>
  <c r="F102" i="3" s="1"/>
  <c r="D94" i="2"/>
  <c r="D100" i="2" s="1"/>
  <c r="C95" i="4"/>
  <c r="C101" i="4" s="1"/>
  <c r="F67" i="2"/>
  <c r="F90" i="2"/>
  <c r="F78" i="2"/>
  <c r="F84" i="2" s="1"/>
  <c r="F96" i="2" s="1"/>
  <c r="F102" i="2" s="1"/>
  <c r="C95" i="3"/>
  <c r="C101" i="3" s="1"/>
  <c r="E67" i="4"/>
  <c r="E90" i="4"/>
  <c r="E78" i="4"/>
  <c r="E84" i="4" s="1"/>
  <c r="E96" i="4" s="1"/>
  <c r="E102" i="4" s="1"/>
  <c r="I94" i="2"/>
  <c r="I100" i="2" s="1"/>
  <c r="G94" i="3"/>
  <c r="G100" i="3" s="1"/>
  <c r="I78" i="3"/>
  <c r="I84" i="3" s="1"/>
  <c r="I90" i="3"/>
  <c r="I67" i="3"/>
  <c r="G77" i="3"/>
  <c r="G83" i="3" s="1"/>
  <c r="G89" i="3"/>
  <c r="G66" i="3"/>
  <c r="G95" i="4"/>
  <c r="G101" i="4" s="1"/>
  <c r="E89" i="2"/>
  <c r="E77" i="2"/>
  <c r="E83" i="2" s="1"/>
  <c r="E95" i="2" s="1"/>
  <c r="E101" i="2" s="1"/>
  <c r="E66" i="2"/>
  <c r="D77" i="2"/>
  <c r="D83" i="2" s="1"/>
  <c r="D66" i="2"/>
  <c r="D89" i="2"/>
  <c r="J95" i="2"/>
  <c r="J101" i="2" s="1"/>
  <c r="F103" i="4"/>
  <c r="F105" i="4" s="1"/>
  <c r="F106" i="4"/>
  <c r="F107" i="4" s="1"/>
  <c r="J66" i="3"/>
  <c r="J77" i="3"/>
  <c r="J83" i="3" s="1"/>
  <c r="J89" i="3"/>
  <c r="I95" i="4"/>
  <c r="I101" i="4" s="1"/>
  <c r="G67" i="4"/>
  <c r="G90" i="4"/>
  <c r="G78" i="4"/>
  <c r="G84" i="4" s="1"/>
  <c r="G96" i="4" s="1"/>
  <c r="G102" i="4" s="1"/>
  <c r="H89" i="3"/>
  <c r="H77" i="3"/>
  <c r="H83" i="3" s="1"/>
  <c r="H66" i="3"/>
  <c r="J77" i="4"/>
  <c r="J83" i="4" s="1"/>
  <c r="J66" i="4"/>
  <c r="J89" i="4"/>
  <c r="H94" i="3"/>
  <c r="H100" i="3" s="1"/>
  <c r="D95" i="4"/>
  <c r="D101" i="4" s="1"/>
  <c r="C95" i="2"/>
  <c r="C101" i="2" s="1"/>
  <c r="H90" i="2"/>
  <c r="H78" i="2"/>
  <c r="H84" i="2" s="1"/>
  <c r="H67" i="2"/>
  <c r="C30" i="7"/>
  <c r="C40" i="7"/>
  <c r="C51" i="7" s="1"/>
  <c r="I67" i="4"/>
  <c r="I90" i="4"/>
  <c r="I78" i="4"/>
  <c r="I84" i="4" s="1"/>
  <c r="D90" i="3"/>
  <c r="D78" i="3"/>
  <c r="D84" i="3" s="1"/>
  <c r="D96" i="3" s="1"/>
  <c r="D102" i="3" s="1"/>
  <c r="D67" i="3"/>
  <c r="D90" i="4"/>
  <c r="D67" i="4"/>
  <c r="D78" i="4"/>
  <c r="D84" i="4" s="1"/>
  <c r="D96" i="4" s="1"/>
  <c r="D102" i="4" s="1"/>
  <c r="C78" i="4"/>
  <c r="C84" i="4" s="1"/>
  <c r="C90" i="4"/>
  <c r="C67" i="4"/>
  <c r="C67" i="3"/>
  <c r="C90" i="3"/>
  <c r="C78" i="3"/>
  <c r="C84" i="3" s="1"/>
  <c r="J90" i="2"/>
  <c r="J67" i="2"/>
  <c r="J78" i="2"/>
  <c r="J84" i="2" s="1"/>
  <c r="J96" i="2" s="1"/>
  <c r="J102" i="2" s="1"/>
  <c r="G95" i="2"/>
  <c r="G101" i="2" s="1"/>
  <c r="G67" i="2"/>
  <c r="G78" i="2"/>
  <c r="G84" i="2" s="1"/>
  <c r="G90" i="2"/>
  <c r="J94" i="3"/>
  <c r="J100" i="3" s="1"/>
  <c r="E39" i="7"/>
  <c r="E50" i="7" s="1"/>
  <c r="E29" i="7"/>
  <c r="I89" i="2"/>
  <c r="I66" i="2"/>
  <c r="I77" i="2"/>
  <c r="I83" i="2" s="1"/>
  <c r="E67" i="3"/>
  <c r="E90" i="3"/>
  <c r="E78" i="3"/>
  <c r="E84" i="3" s="1"/>
  <c r="E95" i="3"/>
  <c r="E101" i="3" s="1"/>
  <c r="D95" i="3"/>
  <c r="D101" i="3" s="1"/>
  <c r="E94" i="2"/>
  <c r="E100" i="2" s="1"/>
  <c r="D30" i="7"/>
  <c r="D40" i="7"/>
  <c r="D51" i="7" s="1"/>
  <c r="H67" i="4"/>
  <c r="H90" i="4"/>
  <c r="H78" i="4"/>
  <c r="H84" i="4" s="1"/>
  <c r="H96" i="4" s="1"/>
  <c r="H102" i="4" s="1"/>
  <c r="C78" i="2"/>
  <c r="C84" i="2" s="1"/>
  <c r="C90" i="2"/>
  <c r="C67" i="2"/>
  <c r="B30" i="7"/>
  <c r="B40" i="7"/>
  <c r="B51" i="7" s="1"/>
  <c r="F95" i="2"/>
  <c r="F101" i="2" s="1"/>
  <c r="G95" i="3" l="1"/>
  <c r="G101" i="3" s="1"/>
  <c r="C96" i="4"/>
  <c r="C102" i="4" s="1"/>
  <c r="I95" i="2"/>
  <c r="I101" i="2" s="1"/>
  <c r="I96" i="4"/>
  <c r="I102" i="4" s="1"/>
  <c r="F91" i="3"/>
  <c r="F79" i="3"/>
  <c r="F85" i="3" s="1"/>
  <c r="F97" i="3" s="1"/>
  <c r="H96" i="2"/>
  <c r="H102" i="2" s="1"/>
  <c r="C96" i="3"/>
  <c r="C102" i="3" s="1"/>
  <c r="D79" i="4"/>
  <c r="D85" i="4" s="1"/>
  <c r="D91" i="4"/>
  <c r="I96" i="3"/>
  <c r="I102" i="3" s="1"/>
  <c r="I90" i="2"/>
  <c r="I67" i="2"/>
  <c r="I78" i="2"/>
  <c r="I84" i="2" s="1"/>
  <c r="I96" i="2" s="1"/>
  <c r="I102" i="2" s="1"/>
  <c r="D91" i="3"/>
  <c r="D79" i="3"/>
  <c r="D85" i="3" s="1"/>
  <c r="G79" i="4"/>
  <c r="G85" i="4" s="1"/>
  <c r="G91" i="4"/>
  <c r="E30" i="7"/>
  <c r="E40" i="7"/>
  <c r="E51" i="7" s="1"/>
  <c r="J95" i="3"/>
  <c r="J101" i="3" s="1"/>
  <c r="J90" i="3"/>
  <c r="J78" i="3"/>
  <c r="J84" i="3" s="1"/>
  <c r="J67" i="3"/>
  <c r="B31" i="7"/>
  <c r="B42" i="7" s="1"/>
  <c r="B41" i="7"/>
  <c r="B52" i="7" s="1"/>
  <c r="C79" i="2"/>
  <c r="C85" i="2" s="1"/>
  <c r="C91" i="2"/>
  <c r="F109" i="4"/>
  <c r="C96" i="2"/>
  <c r="C102" i="2" s="1"/>
  <c r="F79" i="2"/>
  <c r="F85" i="2" s="1"/>
  <c r="F91" i="2"/>
  <c r="J79" i="2"/>
  <c r="J85" i="2" s="1"/>
  <c r="J91" i="2"/>
  <c r="D95" i="2"/>
  <c r="D101" i="2" s="1"/>
  <c r="H79" i="4"/>
  <c r="H85" i="4" s="1"/>
  <c r="H91" i="4"/>
  <c r="E67" i="2"/>
  <c r="E78" i="2"/>
  <c r="E84" i="2" s="1"/>
  <c r="E90" i="2"/>
  <c r="F103" i="3"/>
  <c r="F105" i="3" s="1"/>
  <c r="F106" i="3"/>
  <c r="F107" i="3" s="1"/>
  <c r="J90" i="4"/>
  <c r="J78" i="4"/>
  <c r="J84" i="4" s="1"/>
  <c r="J96" i="4" s="1"/>
  <c r="J102" i="4" s="1"/>
  <c r="J67" i="4"/>
  <c r="G90" i="3"/>
  <c r="G78" i="3"/>
  <c r="G84" i="3" s="1"/>
  <c r="G67" i="3"/>
  <c r="J95" i="4"/>
  <c r="J101" i="4" s="1"/>
  <c r="E79" i="4"/>
  <c r="E85" i="4" s="1"/>
  <c r="E91" i="4"/>
  <c r="I79" i="4"/>
  <c r="I85" i="4" s="1"/>
  <c r="I91" i="4"/>
  <c r="G96" i="2"/>
  <c r="G102" i="2" s="1"/>
  <c r="C31" i="7"/>
  <c r="C42" i="7" s="1"/>
  <c r="C41" i="7"/>
  <c r="C52" i="7" s="1"/>
  <c r="H79" i="2"/>
  <c r="H85" i="2" s="1"/>
  <c r="H91" i="2"/>
  <c r="D90" i="2"/>
  <c r="D78" i="2"/>
  <c r="D84" i="2" s="1"/>
  <c r="D67" i="2"/>
  <c r="C91" i="4"/>
  <c r="C79" i="4"/>
  <c r="C85" i="4" s="1"/>
  <c r="E91" i="3"/>
  <c r="E79" i="3"/>
  <c r="E85" i="3" s="1"/>
  <c r="E97" i="3" s="1"/>
  <c r="G79" i="2"/>
  <c r="G85" i="2" s="1"/>
  <c r="G91" i="2"/>
  <c r="D41" i="7"/>
  <c r="D52" i="7" s="1"/>
  <c r="D31" i="7"/>
  <c r="D42" i="7" s="1"/>
  <c r="C91" i="3"/>
  <c r="C79" i="3"/>
  <c r="C85" i="3" s="1"/>
  <c r="H78" i="3"/>
  <c r="H84" i="3" s="1"/>
  <c r="H67" i="3"/>
  <c r="H90" i="3"/>
  <c r="E96" i="3"/>
  <c r="E102" i="3" s="1"/>
  <c r="H95" i="3"/>
  <c r="H101" i="3" s="1"/>
  <c r="I79" i="3"/>
  <c r="I85" i="3" s="1"/>
  <c r="I91" i="3"/>
  <c r="D97" i="3" l="1"/>
  <c r="C97" i="3"/>
  <c r="D96" i="2"/>
  <c r="D102" i="2" s="1"/>
  <c r="J96" i="3"/>
  <c r="J102" i="3" s="1"/>
  <c r="B55" i="7"/>
  <c r="B56" i="7" s="1"/>
  <c r="B53" i="7"/>
  <c r="B54" i="7" s="1"/>
  <c r="B57" i="7" s="1"/>
  <c r="B58" i="7" s="1"/>
  <c r="B59" i="7" s="1"/>
  <c r="B60" i="7" s="1"/>
  <c r="D91" i="2"/>
  <c r="D79" i="2"/>
  <c r="D85" i="2" s="1"/>
  <c r="D97" i="2" s="1"/>
  <c r="J79" i="3"/>
  <c r="J85" i="3" s="1"/>
  <c r="J91" i="3"/>
  <c r="I97" i="3"/>
  <c r="I103" i="3" s="1"/>
  <c r="I105" i="3" s="1"/>
  <c r="I109" i="3" s="1"/>
  <c r="F109" i="3"/>
  <c r="C55" i="7"/>
  <c r="C56" i="7" s="1"/>
  <c r="C53" i="7"/>
  <c r="C54" i="7" s="1"/>
  <c r="C57" i="7" s="1"/>
  <c r="C58" i="7" s="1"/>
  <c r="C59" i="7" s="1"/>
  <c r="C60" i="7" s="1"/>
  <c r="E97" i="4"/>
  <c r="F97" i="2"/>
  <c r="J79" i="4"/>
  <c r="J85" i="4" s="1"/>
  <c r="J91" i="4"/>
  <c r="H97" i="2"/>
  <c r="H91" i="3"/>
  <c r="H79" i="3"/>
  <c r="H85" i="3" s="1"/>
  <c r="H97" i="3" s="1"/>
  <c r="H96" i="3"/>
  <c r="H102" i="3" s="1"/>
  <c r="E96" i="2"/>
  <c r="E102" i="2" s="1"/>
  <c r="E79" i="2"/>
  <c r="E85" i="2" s="1"/>
  <c r="E91" i="2"/>
  <c r="C106" i="3"/>
  <c r="C107" i="3" s="1"/>
  <c r="C103" i="3"/>
  <c r="C105" i="3" s="1"/>
  <c r="C109" i="3" s="1"/>
  <c r="D106" i="3"/>
  <c r="D107" i="3" s="1"/>
  <c r="D103" i="3"/>
  <c r="D105" i="3" s="1"/>
  <c r="D109" i="3" s="1"/>
  <c r="D55" i="7"/>
  <c r="D56" i="7" s="1"/>
  <c r="D53" i="7"/>
  <c r="D54" i="7" s="1"/>
  <c r="D57" i="7" s="1"/>
  <c r="D58" i="7" s="1"/>
  <c r="D59" i="7" s="1"/>
  <c r="D60" i="7" s="1"/>
  <c r="I91" i="2"/>
  <c r="I79" i="2"/>
  <c r="I85" i="2" s="1"/>
  <c r="J97" i="2"/>
  <c r="J103" i="2" s="1"/>
  <c r="J105" i="2" s="1"/>
  <c r="J109" i="2" s="1"/>
  <c r="G97" i="2"/>
  <c r="D97" i="4"/>
  <c r="E106" i="3"/>
  <c r="E107" i="3" s="1"/>
  <c r="E103" i="3"/>
  <c r="E105" i="3" s="1"/>
  <c r="E31" i="7"/>
  <c r="E42" i="7" s="1"/>
  <c r="E41" i="7"/>
  <c r="E52" i="7" s="1"/>
  <c r="G97" i="4"/>
  <c r="H97" i="4"/>
  <c r="I97" i="4"/>
  <c r="I103" i="4" s="1"/>
  <c r="I105" i="4" s="1"/>
  <c r="I109" i="4" s="1"/>
  <c r="G91" i="3"/>
  <c r="G79" i="3"/>
  <c r="G85" i="3" s="1"/>
  <c r="C97" i="4"/>
  <c r="G96" i="3"/>
  <c r="G102" i="3" s="1"/>
  <c r="C97" i="2"/>
  <c r="I97" i="2" l="1"/>
  <c r="I103" i="2" s="1"/>
  <c r="I105" i="2" s="1"/>
  <c r="I109" i="2" s="1"/>
  <c r="E109" i="3"/>
  <c r="E97" i="2"/>
  <c r="G106" i="4"/>
  <c r="G107" i="4" s="1"/>
  <c r="G103" i="4"/>
  <c r="G105" i="4" s="1"/>
  <c r="G109" i="4" s="1"/>
  <c r="E106" i="2"/>
  <c r="E107" i="2" s="1"/>
  <c r="E103" i="2"/>
  <c r="H106" i="4"/>
  <c r="H107" i="4" s="1"/>
  <c r="H103" i="4"/>
  <c r="H105" i="4" s="1"/>
  <c r="H109" i="4" s="1"/>
  <c r="H106" i="3"/>
  <c r="H107" i="3" s="1"/>
  <c r="H103" i="3"/>
  <c r="H105" i="3" s="1"/>
  <c r="J97" i="4"/>
  <c r="J103" i="4" s="1"/>
  <c r="J105" i="4" s="1"/>
  <c r="J109" i="4" s="1"/>
  <c r="E106" i="4"/>
  <c r="E107" i="4" s="1"/>
  <c r="E103" i="4"/>
  <c r="E105" i="4" s="1"/>
  <c r="E109" i="4" s="1"/>
  <c r="J97" i="3"/>
  <c r="J103" i="3" s="1"/>
  <c r="J105" i="3" s="1"/>
  <c r="J109" i="3" s="1"/>
  <c r="E105" i="2"/>
  <c r="E109" i="2" s="1"/>
  <c r="E55" i="7"/>
  <c r="E56" i="7" s="1"/>
  <c r="E53" i="7"/>
  <c r="E54" i="7" s="1"/>
  <c r="E57" i="7" s="1"/>
  <c r="E58" i="7" s="1"/>
  <c r="E59" i="7" s="1"/>
  <c r="E60" i="7" s="1"/>
  <c r="F106" i="2"/>
  <c r="F107" i="2" s="1"/>
  <c r="F103" i="2"/>
  <c r="F105" i="2" s="1"/>
  <c r="H106" i="2"/>
  <c r="H107" i="2" s="1"/>
  <c r="H103" i="2"/>
  <c r="H105" i="2" s="1"/>
  <c r="D103" i="4"/>
  <c r="D105" i="4" s="1"/>
  <c r="D106" i="4"/>
  <c r="D107" i="4" s="1"/>
  <c r="G103" i="2"/>
  <c r="G105" i="2" s="1"/>
  <c r="G106" i="2"/>
  <c r="G107" i="2" s="1"/>
  <c r="D103" i="2"/>
  <c r="D105" i="2" s="1"/>
  <c r="D106" i="2"/>
  <c r="D107" i="2" s="1"/>
  <c r="C103" i="2"/>
  <c r="C105" i="2" s="1"/>
  <c r="C106" i="2"/>
  <c r="C107" i="2" s="1"/>
  <c r="C103" i="4"/>
  <c r="C105" i="4" s="1"/>
  <c r="C106" i="4"/>
  <c r="C107" i="4" s="1"/>
  <c r="G97" i="3"/>
  <c r="H109" i="3" l="1"/>
  <c r="C109" i="2"/>
  <c r="G109" i="2"/>
  <c r="D109" i="4"/>
  <c r="G103" i="3"/>
  <c r="G105" i="3" s="1"/>
  <c r="G106" i="3"/>
  <c r="G107" i="3" s="1"/>
  <c r="C109" i="4"/>
  <c r="H109" i="2"/>
  <c r="F109" i="2"/>
  <c r="D109" i="2"/>
  <c r="K110" i="2"/>
  <c r="K109" i="2"/>
  <c r="K119" i="2" s="1"/>
  <c r="K122" i="2" s="1"/>
  <c r="B18" i="6" s="1"/>
  <c r="E18" i="6" s="1"/>
  <c r="K109" i="4" l="1"/>
  <c r="K119" i="4" s="1"/>
  <c r="K122" i="4" s="1"/>
  <c r="B19" i="6" s="1"/>
  <c r="E19" i="6" s="1"/>
  <c r="K110" i="4"/>
  <c r="G109" i="3"/>
  <c r="K110" i="3" l="1"/>
  <c r="K109" i="3"/>
  <c r="K119" i="3" s="1"/>
  <c r="K122" i="3" s="1"/>
  <c r="B17" i="6" s="1"/>
  <c r="E21" i="6" l="1"/>
  <c r="B21" i="6"/>
  <c r="E17" i="6"/>
</calcChain>
</file>

<file path=xl/sharedStrings.xml><?xml version="1.0" encoding="utf-8"?>
<sst xmlns="http://schemas.openxmlformats.org/spreadsheetml/2006/main" count="654" uniqueCount="342">
  <si>
    <t>FinSurf — SOTP-DCF Inputs</t>
  </si>
  <si>
    <t>Phase 2 v3 — per-Segment WACC (Damodaran β), shared D/E + tax. Column C = Reasoning.</t>
  </si>
  <si>
    <t>── Company ──</t>
  </si>
  <si>
    <t>Company</t>
  </si>
  <si>
    <t>BASF SE</t>
  </si>
  <si>
    <t>Ticker</t>
  </si>
  <si>
    <t>BAS.DE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</si>
  <si>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</si>
  <si>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</si>
  <si>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</si>
  <si>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</si>
  <si>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</si>
  <si>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</si>
  <si>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</si>
  <si>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</si>
  <si>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</si>
  <si>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</si>
  <si>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</si>
  <si>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</si>
  <si>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</si>
  <si>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Bund 10y 31.12.2025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</si>
  <si>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</si>
  <si>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</si>
  <si>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</si>
  <si>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</si>
  <si>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</si>
  <si>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</si>
  <si>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</si>
  <si>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</si>
  <si>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</si>
  <si>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</si>
  <si>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Europa 40,9% (CRP 0%), NA 27,0% (0%), Asia Pacific 24,8% (blend: 50% developed/50% Emerging-Asia ~0,5%), LATAM 4,0% (Brasilien-dominiert ~2,5%), MEA 3,3% (~2,0%). Gewichtet: 0,248×0,5% + 0,04×2,5% + 0,033×2,0% = 0,12% + 0,10% + 0,07% = 0,29% ≈ 0,3pp; gerundet auf 0,4pp für BASF-spezifisches EM-Exposure und Zhanjiang-Klumpenrisiko China.</t>
  </si>
  <si>
    <t>Specific Risk Premium</t>
  </si>
  <si>
    <t>Keine strukturellen Governance-Risiken; liquide DAX-Aktie (~€4-5B Tagesvolumen); A-Rating stabil bei Fitch/Moody's/S&amp;P; breit diversifizierter Konzern ohne Key-Person-Abhängigkeit.</t>
  </si>
  <si>
    <t>Cost of Equity Group [calc, ≥ Kd + Nachrang-Spread]</t>
  </si>
  <si>
    <t>Cost of Debt pre-tax (Kd)</t>
  </si>
  <si>
    <t>A/A3/A- Rating stabil; Bund 10y 2,4% + ~100bps IG-Spread (BASF Senior-Unsecured) = 3,4%. Bestätigt durch Incoterms-Borrowing-Rate für Zhanjiang-Anleihen (borrowing costs capitalized at 2,25% — historisch, aktuell leicht höher).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</si>
  <si>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</si>
  <si>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</si>
  <si>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</si>
  <si>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</si>
  <si>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</si>
  <si>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</si>
  <si>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</si>
  <si>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</si>
  <si>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</si>
  <si>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</si>
  <si>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</si>
  <si>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</si>
  <si>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</si>
  <si>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</si>
  <si>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</si>
  <si>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45,145 Mio EUR (BAS.DE) → Large/Mega Cap (&gt; 10 Mrd): +0.00 pp auf Ke</t>
  </si>
  <si>
    <t>SOTP DCF [Base] — Segment-Level Forecast + Group-Aggregation</t>
  </si>
  <si>
    <t>Yellow = Inputs. Orange = Reasoning (Writer befüllt nach Review-Call). Blue = computed. Green = output.</t>
  </si>
  <si>
    <t>Chemicals</t>
  </si>
  <si>
    <t>Materials</t>
  </si>
  <si>
    <t>Industrial Solutions</t>
  </si>
  <si>
    <t>Nutrition &amp; Care</t>
  </si>
  <si>
    <t>Surface Technologies</t>
  </si>
  <si>
    <t>Agricultural Solutions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</si>
  <si>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</si>
  <si>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</si>
  <si>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</si>
  <si>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</si>
  <si>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</si>
  <si>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</si>
  <si>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</si>
  <si>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</si>
  <si>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</si>
  <si>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</si>
  <si>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</si>
  <si>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</si>
  <si>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</si>
  <si>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</si>
  <si>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</si>
  <si>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</si>
  <si>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</si>
  <si>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</si>
  <si>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Demonstrierte 2J-CAGR stark negativ (Revenue 2024 €10.838M → 2025 €10.055M = -7,2%; Preise -8,8%, Volumina -0,3%). 2026-Guidance: 'erhebliche Steigerung' EBITDA bsi durch Zhanjiang vollständig operativ (neue Petrochemie-Kapazitäten + Intermediates). Strukturell: Globale Petrochemie-Überkapazitäten (insb. China-Cracker) begrenzen Preiserholung. 5J-CAGR = 3%: Zhanjiang-Volumengewinn +2%, vorsichtige Preiserholung +1%; klar über demonstrierter negativer CAGR, gerechtfertigt durch konkret commiss...</t>
  </si>
  <si>
    <t>Revenue 2024 €13.510M → 2025 €12.742M (-5,7%; Preise -3,7%, FX -2,8%). 2026-Guidance: 'leichter Rückgang' EBITDA bsi (Monomere weich durch MDI-Kapazitätsüberhang; Performance Materials steigt). 5J-CAGR 2%: Geismar-Anlauf bringt Nordamerika-MDI-Volumen +2-3%, Preisdruck durch neue Kapazitäten (CNOOC, Covestro) -1% → netto ~2%. Performance Materials (Automotive, E-Mobility) Wachstumstreiber.</t>
  </si>
  <si>
    <t>Revenue 2024 €9.223M → 2025 €8.594M (-6,8%; FX + Portfolio-Effekt Flocculants-Verkauf -1,1%). 2026-Guidance: 'leichte Steigerung' EBITDA bsi (Performance Chemicals: Fixkostensenkung; Dispersions &amp; Resins: Margenverbesserungsprogramm). 5J-CAGR 2%: Elektronik-Materialien als Wachstumstreiber, Bau/Automotive moderat. Sektor-Marktanteil stabil; keine großen M&amp;A-Aktivitäten geplant.</t>
  </si>
  <si>
    <t>Revenue 2024 €6.729M → 2025 €6.509M (-3,3%; FX + Portfolio-Verkauf Food &amp; Health Performance Ingredients). 2026-Guidance: 'erhebliche Steigerung' EBITDA bsi (Care Chemicals Recovery; N&amp;H Isophytol-Wiederanlauf). 5J-CAGR 2%: demografisches Wachstum Personal Care + Human Nutrition (globale Mittelschicht), moderates Preisumfeld, Portfolioverkauf leicht dämpfend.</t>
  </si>
  <si>
    <t>Revenue 2024 €8.055M → 2025 €8.967M (+11,3%; ECMS-Volumenwachstum Emissionskatalysatoren + Edelmetallhandel stark). 2026-Guidance: 'erheblicher Rückgang' EBITDA bsi (ECMS: Produktionskostenerstattungen aus Vorperioden fallen weg; Battery Materials strukturell unter Druck durch globale Li-Batterie-Überkapazitäten). 5J-CAGR 2%: ECMS stabil (Emissionskatalysatoren regulierungsgetrieben bis 2035+, Recycling-Volumen wächst mit BEV-Flottealterung), Battery Materials von kleiner Basis wachsend aber...</t>
  </si>
  <si>
    <t>Revenue 2024 €9.798M → 2025 €9.587M (-2,2%; FX-bedingt, Volumen +leicht durch glufosinate-P Launch). 2026-Guidance: 'leichter Rückgang' EBITDA bsi (FX-Effekte: schwacher USD belastet Euro-Reporting). 5J-CAGR 2%: Agrarchemie-Markt reif (~2-3% Volumen global, Ernährungssicherheit), Pricing-Power durch Differenzierungsprodukte (glufosinate-P, Seeds), Partial-IPO-Impuls für Wachstumsambition. Demonstrierte CAGR -1,1% wegen FX-Belastungen 2024-2025; organisch (+Volumen +Preis) näher an 3%; modelli...</t>
  </si>
  <si>
    <t>Margin-Reasoning (Review-Call-Audit)</t>
  </si>
  <si>
    <t>Reported IFRS-EBIT = -€374M / €10.055M = -3,7%. Sonderposten EBIT -€286M: davon EBITDA-Sonder -€106M (Restrukturierung, recurring Ludwigshafen-Programm → NICHT zurückgerechnet), verbleibende -€180M = Wertminderungen Sachanlagen/Intangibles (nicht-cash, non-recurring) → one_off_addback = +180/10.055 = +1,8pp. Run-Rate = -3,7% + 1,8% = -1,9%. Trough-Clamp: EBITA-Spielraum = max(0, da_pct 11,1% - gross_capex 21,0%) = 0 (Zhanjiang-Peak-Capex deutlich über D&amp;A). Y1-Cap = -1,9% + 0 + 1,5pp = -0,4%...</t>
  </si>
  <si>
    <t>Reported IFRS-EBIT = €635M / €12.742M = 5,0%. 2024 EBIT bsi = €987M / €13.510M = 7,3% (abgelesen) → Trog-Jahr (MDI-Überkapazitäten). EBIT-Sonder -€87M vs EBITDA-Sonder -€73M → Wertminderungen ~€14M = 0,1% non-recurring. Run-Rate = 5,0% + 0,1% = 5,1%. D&amp;A 6,8% vs Capex 7,4% → capex ≥ D&amp;A, kein EBITA-Spielraum (max(0, 6,8-7,4) = 0). Trough-Cap = 5,1% + 0 + 1,5pp = 6,6%. 2026-Guidance 'leichter Rückgang' → Y1 EBIT bsi fällt etwas unter Run-Rate; setze Y1 = 4,5% (Monomere weich, Geismar-Anlauf er...</t>
  </si>
  <si>
    <t>Reported IFRS-EBIT = €705M / €8.594M = 8,2%. 2024 EBIT = €959M / €9.223M = 10,4% (abgelesen, Normal-Jahr). EBIT-Sonder -€81M vs EBITDA-Sonder -€48M → Wertminderungen ~€33M = 0,4% non-recurring. Run-Rate = 8,2% + 0,4% = 8,6%. 'Normal' klassifiziert: kein extremes Trog-Jahr, Rückgang FX/Preis-getrieben, strukturelle Qualität intakt. 2026-Guidance 'leichte Steigerung' → Y1 etwas über Run-Rate = 8,8%. Y5 = 10,0%: 2024 Normal-Niveau war 10,4% — Y5 Return dorthin ist durch Fixkostenprogramm + Elekt...</t>
  </si>
  <si>
    <t>Reported IFRS-EBIT = €76M / €6.509M = 1,2%. 2024 EBIT = €220M / €6.729M = 3,3% (abgelesen, bereits Trog). EBIT-Sonder -€57M vs EBITDA-Sonder -€19M → Wertminderungen ~€38M = 0,6% non-recurring. Run-Rate = 1,2% + 0,6% = 1,8%. Trough-Clamp: EBITA-Spielraum = max(0, da_pct 8,5% - gross_capex 10,2%) = 0 (Capex &gt; D&amp;A). Y1-Cap = 1,8% + 0 + 1,5pp = 3,3%. 2026-Guidance 'erhebliche Steigerung' impliziert EBITDA bsi ~€850M (+31%), D&amp;A ~€550M → EBIT bsi ~€300M auf ~€6,7B = 4,5%; dies liegt über dem Troug...</t>
  </si>
  <si>
    <t>Reported IFRS-EBIT = €1.141M / €8.967M = 12,7% — massiv verzerrt durch Sonder-Erlöse: EBIT-Sonderposten +€555M (Coatings-Brasilien-Verkauf + Carlyle-Prozess + sonstige Erträge). one_off_addback = -555/8967 = -6,2% (NEGATIVER Wert: einmaliger Gewinn wird SUBTRAHIERT laut Signierungsregel). Run-Rate = 12,7% - 6,2% = 6,5% = EBIT bsi (€587M/€8.967M). ABER: EBITDA bsi selbst enthält ECMS-Produktionskostenerstattungen (Vorperioden) — ausgewiesen als 'before special items' aber nicht-wiederkehrend....</t>
  </si>
  <si>
    <t>Reported IFRS-EBIT = €1.342M / €9.587M = 14,0%. EBIT-Sonder -€158M vs EBITDA-Sonder -€156M → Impairments EBIT ~€2M = minimal. ERP-Konversionskosten €156M (EBITDA-Sonder) = dokumentiertes Einmalprojekt (ERP-Systemumstellung) → EBITDA-Ebene one_off_addback +1,6% (Umrechnung auf EBIT-Ebene ~gleich da Impairments minimal). Run-Rate = 14,0% + 1,6% = 15,6% = EBIT bsi (€1.500M / €9.587M). EBITA-BASIS PFLICHT: D&amp;A (€583M = 6,1% Sales) signifikant &gt; Capex (€351M = 3,7% Sales); Lücke €232M = 2,4% Sales...</t>
  </si>
  <si>
    <t>Multiple-Gate (implied vs Sektor-Ceiling)</t>
  </si>
  <si>
    <t>ok: EV/EBITDA 8.3x &lt;= 1.1x x Median 15.2x (chemicals)</t>
  </si>
  <si>
    <t>ok: EV/EBITDA 8.5x &lt;= 1.1x x Median 9.7x (materials)</t>
  </si>
  <si>
    <t>ok: EV/EBITDA 9.8x &lt;= 1.1x x Median 15.2x (chemicals)</t>
  </si>
  <si>
    <t>ok: EV/EBITDA 8.1x &lt;= 1.1x x Median 15.2x (chemicals)</t>
  </si>
  <si>
    <t>ok: EV/EBITDA 13.6x &lt;= 1.1x x Median 15.2x (chemicals)</t>
  </si>
  <si>
    <t>ok: EV/EBITDA 7.9x &lt;= 1.1x x Median 15.2x (chemicals)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</si>
  <si>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</si>
  <si>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</si>
  <si>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</si>
  <si>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</si>
  <si>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</si>
  <si>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</si>
  <si>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</si>
  <si>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</si>
  <si>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</si>
  <si>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</si>
  <si>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</si>
  <si>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</si>
  <si>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</si>
  <si>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</si>
  <si>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</si>
  <si>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</si>
  <si>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</si>
  <si>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</si>
  <si>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</si>
  <si>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</si>
  <si>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</si>
  <si>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</si>
  <si>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</si>
  <si>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</si>
  <si>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</si>
  <si>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</si>
  <si>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</si>
  <si>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</si>
  <si>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</si>
  <si>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</si>
  <si>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</si>
  <si>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</si>
  <si>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</si>
  <si>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</si>
  <si>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</si>
  <si>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</si>
  <si>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</si>
  <si>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</si>
  <si>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</si>
  <si>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</si>
  <si>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</si>
  <si>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</si>
  <si>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</si>
  <si>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</si>
  <si>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</si>
  <si>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</si>
  <si>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</si>
  <si>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</si>
  <si>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</si>
  <si>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</si>
  <si>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</si>
  <si>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</si>
  <si>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</si>
  <si>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</si>
  <si>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</si>
  <si>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</si>
  <si>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</si>
  <si>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</si>
  <si>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</si>
  <si>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</si>
  <si>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</si>
  <si>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</si>
  <si>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</si>
  <si>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</si>
  <si>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</si>
  <si>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</si>
  <si>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</si>
  <si>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</si>
  <si>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</si>
  <si>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</si>
  <si>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</si>
  <si>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</si>
  <si>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</si>
  <si>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</si>
  <si>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</si>
  <si>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</si>
  <si>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</si>
  <si>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</si>
  <si>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</si>
  <si>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</si>
  <si>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</si>
  <si>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</si>
  <si>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</si>
  <si>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</si>
  <si>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</si>
  <si>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</si>
  <si>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</si>
  <si>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</si>
  <si>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</si>
  <si>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</si>
  <si>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</si>
  <si>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</si>
  <si>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</si>
  <si>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</si>
  <si>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</si>
  <si>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</si>
  <si>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</si>
  <si>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</si>
  <si>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</si>
  <si>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Coatings-Divestiture Carlyle — Netto-Erlös</t>
  </si>
  <si>
    <t>Verkauf Automotive OEM/Refinish Coatings + Surface Treatment an Carlyle (Signing Oktober 2025, Closing erwartet Q2 2026, ausstehende Wettbewerbsbehörden). Disposal-Group-Assets €3.973M; Netto-Erlös nach Steuern und Transaktionskosten geschätzt ~€1,5B (konservativ: ~0,6-0,7× Book-Assets nach üblichem Abschlag für Coatings-Profitabilität). Erhöht Equity-Wert bei Closing.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</si>
  <si>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</si>
  <si>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</si>
  <si>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</si>
  <si>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</si>
  <si>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</si>
  <si>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</si>
  <si>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</si>
  <si>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</si>
  <si>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</si>
  <si>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</si>
  <si>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</si>
  <si>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</si>
  <si>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</si>
  <si>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</si>
  <si>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</si>
  <si>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</si>
  <si>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</si>
  <si>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</si>
  <si>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</si>
  <si>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</si>
  <si>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</si>
  <si>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</si>
  <si>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</si>
  <si>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</si>
  <si>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</si>
  <si>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</si>
  <si>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</si>
  <si>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</si>
  <si>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</si>
  <si>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</si>
  <si>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</si>
  <si>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</si>
  <si>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</si>
  <si>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negative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</si>
  <si>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</si>
  <si>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</si>
  <si>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</si>
  <si>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</si>
  <si>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</si>
  <si>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</si>
  <si>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nein — fair bewertet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</si>
  <si>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</si>
  <si>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</si>
  <si>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</si>
  <si>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</si>
  <si>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</si>
  <si>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</si>
  <si>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</si>
  <si>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</si>
  <si>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</si>
  <si>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</si>
  <si>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</si>
  <si>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</si>
  <si>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</si>
  <si>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</si>
  <si>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</si>
  <si>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</si>
  <si>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</si>
  <si>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</si>
  <si>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</si>
  <si>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</si>
  <si>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</si>
  <si>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</si>
  <si>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</si>
  <si>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</si>
  <si>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</si>
  <si>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</si>
  <si>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</si>
  <si>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</si>
  <si>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</si>
  <si>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</si>
  <si>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</si>
  <si>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</si>
  <si>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</si>
  <si>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</si>
  <si>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</si>
  <si>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</si>
  <si>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</si>
  <si>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</si>
  <si>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</si>
  <si>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</si>
  <si>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</si>
  <si>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</si>
  <si>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</si>
  <si>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</si>
  <si>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</si>
  <si>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</si>
  <si>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</si>
  <si>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</si>
  <si>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</si>
  <si>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</si>
  <si>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</si>
  <si>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</si>
  <si>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</si>
  <si>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</si>
  <si>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</si>
  <si>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</si>
  <si>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</si>
  <si>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</si>
  <si>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</si>
  <si>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</si>
  <si>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≈ unsere Annahmen</t>
  </si>
  <si>
    <t>Einordnung</t>
  </si>
  <si>
    <t>Der Markt zahlt heute rund 11.2x EV/EBITDA (trailing). Unser Kursziel entspricht rund 11.5x auf dem heutigen EBITDA (gleiche Basis, direkt mit der eigenen Historie vergleichbar). Das Markt-Niveau liegt im oberen Bereich der eigenen 5J-Spanne (6.6x bis 8.6x). Markt und unser Kursziel implizieren ein nahezu gleiches Multiple. Achtung: das trailing Multiple ist durch ein gedrücktes EBITDA-Jahr (Trog) rechnerisch überhöht, nicht durch einen Bewertungsaufschlag. Auf unserer Ergebnisschätzung für das kommende Jahr (t+1) entspricht das Kursziel rund 9.0x, der Markt 8.7x (anderer Nenner, nicht mit der Historie vergleichbar). Die Peer-Gruppe handelt bei 9.6–34.1x (Median 14.9x,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</si>
  <si>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</si>
  <si>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</si>
  <si>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</si>
  <si>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</si>
  <si>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</si>
  <si>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</si>
  <si>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</si>
  <si>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</si>
  <si>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DOW</t>
  </si>
  <si>
    <t>LYB</t>
  </si>
  <si>
    <t>1COV.F</t>
  </si>
  <si>
    <t>AKZA.AS</t>
  </si>
  <si>
    <t>HUN</t>
  </si>
  <si>
    <t>ALB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</si>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</sst>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baseColWidth="10" defaultColWidth="9.23046875" defaultRowHeight="14.6" x14ac:dyDescent="0.4"/>
  <cols>
    <col min="1" max="1" width="32" customWidth="1"/>
    <col min="2" max="2" width="18" customWidth="1"/>
    <col min="3" max="3" width="60" customWidth="1"/>
  </cols>
  <sheetData>
    <row r="1" spans="1:2" ht="18.45" customHeight="1" x14ac:dyDescent="0.5">
      <c r="A1" s="1" t="s">
        <v>0</v>
      </c>
    </row>
    <row r="2" spans="1:2" x14ac:dyDescent="0.4">
      <c r="A2" s="2" t="s">
        <v>1</v>
      </c>
    </row>
    <row r="4" spans="1:2" x14ac:dyDescent="0.4">
      <c r="A4" s="3" t="s">
        <v>2</v>
      </c>
    </row>
    <row r="5" spans="1:2" x14ac:dyDescent="0.4">
      <c r="A5" s="4" t="s">
        <v>3</v>
      </c>
      <c r="B5" t="s">
        <v>4</v>
      </c>
    </row>
    <row r="6" spans="1:2" x14ac:dyDescent="0.4">
      <c r="A6" s="4" t="s">
        <v>5</v>
      </c>
      <c r="B6" t="s">
        <v>6</v>
      </c>
    </row>
    <row r="7" spans="1:2" x14ac:dyDescent="0.4">
      <c r="A7" s="4" t="s">
        <v>7</v>
      </c>
      <c r="B7" t="s">
        <v>8</v>
      </c>
    </row>
    <row r="8" spans="1:2" x14ac:dyDescent="0.4">
      <c r="A8" s="4" t="s">
        <v>9</v>
      </c>
      <c r="B8" t="s">
        <v>10</v>
      </c>
    </row>
    <row r="10" spans="1:2" x14ac:dyDescent="0.4">
      <c r="A10" s="3" t="s">
        <v>11</v>
      </c>
    </row>
    <row r="11" spans="1:2" x14ac:dyDescent="0.4">
      <c r="A11" s="4" t="s">
        <v>12</v>
      </c>
      <c r="B11" s="5">
        <v>890</v>
      </c>
    </row>
    <row r="12" spans="1:2" x14ac:dyDescent="0.4">
      <c r="A12" s="4" t="s">
        <v>13</v>
      </c>
      <c r="B12" s="5">
        <v>3000</v>
      </c>
    </row>
    <row r="13" spans="1:2" x14ac:dyDescent="0.4">
      <c r="A13" s="4" t="s">
        <v>14</v>
      </c>
      <c r="B13" s="5">
        <v>15500</v>
      </c>
    </row>
    <row r="14" spans="1:2" x14ac:dyDescent="0.4">
      <c r="A14" s="4" t="s">
        <v>15</v>
      </c>
      <c r="B14" s="6">
        <f>B13-B12</f>
        <v>12500</v>
      </c>
    </row>
    <row r="15" spans="1:2" x14ac:dyDescent="0.4">
      <c r="A15" s="4" t="s">
        <v>16</v>
      </c>
      <c r="B15" s="5">
        <v>800</v>
      </c>
    </row>
    <row r="17" spans="1:3" x14ac:dyDescent="0.4">
      <c r="A17" s="3" t="s">
        <v>17</v>
      </c>
      <c r="C17" s="2" t="s">
        <v>18</v>
      </c>
    </row>
    <row r="18" spans="1:3" x14ac:dyDescent="0.4">
      <c r="A18" s="4" t="s">
        <v>19</v>
      </c>
      <c r="B18" s="7">
        <v>2.5000000000000001E-2</v>
      </c>
      <c r="C18" s="8" t="s">
        <v>20</v>
      </c>
    </row>
    <row r="19" spans="1:3" x14ac:dyDescent="0.4">
      <c r="A19" s="4" t="s">
        <v>21</v>
      </c>
      <c r="B19" s="7">
        <v>5.6825000000000001E-2</v>
      </c>
      <c r="C19" s="8" t="s">
        <v>22</v>
      </c>
    </row>
    <row r="20" spans="1:3" x14ac:dyDescent="0.4">
      <c r="A20" s="4" t="s">
        <v>23</v>
      </c>
      <c r="B20" s="9">
        <v>0.95399999999999996</v>
      </c>
      <c r="C20" s="8" t="s">
        <v>24</v>
      </c>
    </row>
    <row r="21" spans="1:3" x14ac:dyDescent="0.4">
      <c r="A21" s="4" t="s">
        <v>25</v>
      </c>
      <c r="B21" s="9">
        <v>0.35</v>
      </c>
      <c r="C21" s="8" t="s">
        <v>26</v>
      </c>
    </row>
    <row r="22" spans="1:3" x14ac:dyDescent="0.4">
      <c r="A22" s="4" t="s">
        <v>27</v>
      </c>
      <c r="B22" s="7">
        <v>0.27</v>
      </c>
      <c r="C22" s="8" t="s">
        <v>28</v>
      </c>
    </row>
    <row r="23" spans="1:3" x14ac:dyDescent="0.4">
      <c r="A23" s="4" t="s">
        <v>29</v>
      </c>
      <c r="B23" s="10">
        <f>(1-0.33)*(B20*(1+(1-B22)*B21))+0.33</f>
        <v>1.1324904899999999</v>
      </c>
    </row>
    <row r="24" spans="1:3" x14ac:dyDescent="0.4">
      <c r="A24" s="4" t="s">
        <v>30</v>
      </c>
      <c r="B24" s="7">
        <v>4.0000000000000001E-3</v>
      </c>
      <c r="C24" s="8" t="s">
        <v>31</v>
      </c>
    </row>
    <row r="25" spans="1:3" x14ac:dyDescent="0.4">
      <c r="A25" s="4" t="s">
        <v>32</v>
      </c>
      <c r="B25" s="7">
        <v>0</v>
      </c>
      <c r="C25" s="8" t="s">
        <v>33</v>
      </c>
    </row>
    <row r="26" spans="1:3" x14ac:dyDescent="0.4">
      <c r="A26" s="4" t="s">
        <v>34</v>
      </c>
      <c r="B26" s="11">
        <f>MAX(B18+B23*B19+B24+B25+B39,MIN(B27,0.08)+0.025)</f>
        <v>9.3353772094249998E-2</v>
      </c>
    </row>
    <row r="27" spans="1:3" x14ac:dyDescent="0.4">
      <c r="A27" s="4" t="s">
        <v>35</v>
      </c>
      <c r="B27" s="7">
        <v>3.4000000000000002E-2</v>
      </c>
      <c r="C27" s="8" t="s">
        <v>36</v>
      </c>
    </row>
    <row r="28" spans="1:3" x14ac:dyDescent="0.4">
      <c r="A28" s="4" t="s">
        <v>37</v>
      </c>
      <c r="B28" s="11">
        <f>B27*(1-B22)</f>
        <v>2.4820000000000002E-2</v>
      </c>
    </row>
    <row r="29" spans="1:3" x14ac:dyDescent="0.4">
      <c r="A29" s="4" t="s">
        <v>38</v>
      </c>
      <c r="B29" s="11">
        <f>1/(1+B21)</f>
        <v>0.7407407407407407</v>
      </c>
    </row>
    <row r="30" spans="1:3" x14ac:dyDescent="0.4">
      <c r="A30" s="4" t="s">
        <v>39</v>
      </c>
      <c r="B30" s="11">
        <f>B21/(1+B21)</f>
        <v>0.25925925925925924</v>
      </c>
    </row>
    <row r="31" spans="1:3" x14ac:dyDescent="0.4">
      <c r="A31" s="4" t="s">
        <v>40</v>
      </c>
      <c r="B31" s="12">
        <f>MAX(B26*B29+B28*B30,B35)</f>
        <v>7.5585757106851836E-2</v>
      </c>
    </row>
    <row r="32" spans="1:3" x14ac:dyDescent="0.4">
      <c r="A32" s="3" t="s">
        <v>41</v>
      </c>
    </row>
    <row r="33" spans="1:3" x14ac:dyDescent="0.4">
      <c r="A33" s="4" t="s">
        <v>42</v>
      </c>
      <c r="B33" s="7">
        <v>0.02</v>
      </c>
    </row>
    <row r="34" spans="1:3" x14ac:dyDescent="0.4">
      <c r="A34" s="4" t="s">
        <v>43</v>
      </c>
      <c r="B34" s="7">
        <v>0.01</v>
      </c>
    </row>
    <row r="35" spans="1:3" x14ac:dyDescent="0.4">
      <c r="A35" s="4" t="s">
        <v>44</v>
      </c>
      <c r="B35" s="7">
        <v>7.2300000000000003E-2</v>
      </c>
      <c r="C35" s="8" t="s">
        <v>45</v>
      </c>
    </row>
    <row r="36" spans="1:3" x14ac:dyDescent="0.4">
      <c r="A36" s="4" t="s">
        <v>46</v>
      </c>
      <c r="B36" s="7">
        <v>0.29880000000000001</v>
      </c>
      <c r="C36" s="8" t="s">
        <v>47</v>
      </c>
    </row>
    <row r="37" spans="1:3" x14ac:dyDescent="0.4">
      <c r="A37" s="4" t="s">
        <v>48</v>
      </c>
      <c r="B37" s="11">
        <f>B18+0.008+0.02*B36</f>
        <v>3.8976000000000004E-2</v>
      </c>
      <c r="C37" s="8" t="s">
        <v>49</v>
      </c>
    </row>
    <row r="38" spans="1:3" x14ac:dyDescent="0.4">
      <c r="A38" s="4" t="s">
        <v>50</v>
      </c>
      <c r="B38" s="11">
        <f>B37*(1-B22)</f>
        <v>2.8452480000000002E-2</v>
      </c>
    </row>
    <row r="39" spans="1:3" x14ac:dyDescent="0.4">
      <c r="A39" s="4" t="s">
        <v>51</v>
      </c>
      <c r="B39" s="7">
        <v>0</v>
      </c>
      <c r="C39" s="8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53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 t="s">
        <v>59</v>
      </c>
      <c r="H4" s="14" t="s">
        <v>60</v>
      </c>
      <c r="I4" s="14"/>
      <c r="J4" s="14"/>
    </row>
    <row r="5" spans="1:11" x14ac:dyDescent="0.4">
      <c r="A5" s="4" t="s">
        <v>65</v>
      </c>
      <c r="C5" s="5">
        <v>10055</v>
      </c>
      <c r="D5" s="5">
        <v>12742</v>
      </c>
      <c r="E5" s="5">
        <v>8594</v>
      </c>
      <c r="F5" s="5">
        <v>6509</v>
      </c>
      <c r="G5" s="5">
        <v>8967</v>
      </c>
      <c r="H5" s="5">
        <v>9587</v>
      </c>
      <c r="I5" s="5"/>
      <c r="J5" s="5"/>
    </row>
    <row r="6" spans="1:11" x14ac:dyDescent="0.4">
      <c r="A6" s="4" t="s">
        <v>66</v>
      </c>
      <c r="C6" s="7">
        <v>0.03</v>
      </c>
      <c r="D6" s="7">
        <v>0.02</v>
      </c>
      <c r="E6" s="7">
        <v>0.02</v>
      </c>
      <c r="F6" s="7">
        <v>0.02</v>
      </c>
      <c r="G6" s="7">
        <v>0.02</v>
      </c>
      <c r="H6" s="7">
        <v>0.02</v>
      </c>
      <c r="I6" s="7"/>
      <c r="J6" s="7"/>
    </row>
    <row r="7" spans="1:11" x14ac:dyDescent="0.4">
      <c r="A7" s="4" t="s">
        <v>67</v>
      </c>
      <c r="C7" s="7">
        <v>-4.0000000000000001E-3</v>
      </c>
      <c r="D7" s="7">
        <v>4.4999999999999998E-2</v>
      </c>
      <c r="E7" s="7">
        <v>8.7999999999999995E-2</v>
      </c>
      <c r="F7" s="7">
        <v>0.03</v>
      </c>
      <c r="G7" s="7">
        <v>0.03</v>
      </c>
      <c r="H7" s="7">
        <v>0.16</v>
      </c>
      <c r="I7" s="7"/>
      <c r="J7" s="7"/>
    </row>
    <row r="8" spans="1:11" x14ac:dyDescent="0.4">
      <c r="A8" s="4" t="s">
        <v>68</v>
      </c>
      <c r="C8" s="15">
        <v>-3.6999999999999998E-2</v>
      </c>
      <c r="D8" s="15">
        <v>0.05</v>
      </c>
      <c r="E8" s="15">
        <v>8.2000000000000003E-2</v>
      </c>
      <c r="F8" s="15">
        <v>1.2E-2</v>
      </c>
      <c r="G8" s="15">
        <v>0.127</v>
      </c>
      <c r="H8" s="15">
        <v>0.14000000000000001</v>
      </c>
      <c r="I8" s="15"/>
      <c r="J8" s="15"/>
    </row>
    <row r="9" spans="1:11" x14ac:dyDescent="0.4">
      <c r="A9" s="4" t="s">
        <v>69</v>
      </c>
      <c r="C9" s="7">
        <v>7.4999999999999997E-2</v>
      </c>
      <c r="D9" s="7">
        <v>0.08</v>
      </c>
      <c r="E9" s="7">
        <v>0.1</v>
      </c>
      <c r="F9" s="7">
        <v>7.4999999999999997E-2</v>
      </c>
      <c r="G9" s="7">
        <v>0.06</v>
      </c>
      <c r="H9" s="7">
        <v>0.12</v>
      </c>
      <c r="I9" s="7"/>
      <c r="J9" s="7"/>
    </row>
    <row r="10" spans="1:11" x14ac:dyDescent="0.4">
      <c r="A10" s="4" t="s">
        <v>70</v>
      </c>
      <c r="C10" s="7">
        <v>0.21</v>
      </c>
      <c r="D10" s="7">
        <v>7.3999999999999996E-2</v>
      </c>
      <c r="E10" s="7">
        <v>4.5999999999999999E-2</v>
      </c>
      <c r="F10" s="7">
        <v>0.10199999999999999</v>
      </c>
      <c r="G10" s="7">
        <v>1.2999999999999999E-2</v>
      </c>
      <c r="H10" s="7">
        <v>3.6999999999999998E-2</v>
      </c>
      <c r="I10" s="7"/>
      <c r="J10" s="7"/>
    </row>
    <row r="11" spans="1:11" x14ac:dyDescent="0.4">
      <c r="A11" s="4" t="s">
        <v>71</v>
      </c>
      <c r="C11" s="7">
        <v>0.111</v>
      </c>
      <c r="D11" s="7">
        <v>6.8000000000000005E-2</v>
      </c>
      <c r="E11" s="7">
        <v>5.1999999999999998E-2</v>
      </c>
      <c r="F11" s="7">
        <v>8.5000000000000006E-2</v>
      </c>
      <c r="G11" s="7">
        <v>2.8000000000000001E-2</v>
      </c>
      <c r="H11" s="7">
        <v>6.0999999999999999E-2</v>
      </c>
      <c r="I11" s="7"/>
      <c r="J11" s="7"/>
    </row>
    <row r="12" spans="1:11" x14ac:dyDescent="0.4">
      <c r="A12" s="4" t="s">
        <v>72</v>
      </c>
      <c r="C12" s="7">
        <v>-0.04</v>
      </c>
      <c r="D12" s="7">
        <v>5.0000000000000001E-3</v>
      </c>
      <c r="E12" s="7">
        <v>0</v>
      </c>
      <c r="F12" s="7">
        <v>1.4999999999999999E-2</v>
      </c>
      <c r="G12" s="7">
        <v>0</v>
      </c>
      <c r="H12" s="7">
        <v>0</v>
      </c>
      <c r="I12" s="7"/>
      <c r="J12" s="7"/>
    </row>
    <row r="13" spans="1:11" x14ac:dyDescent="0.4">
      <c r="A13" s="4" t="s">
        <v>73</v>
      </c>
      <c r="C13" s="7">
        <v>0.02</v>
      </c>
      <c r="D13" s="7">
        <v>0.02</v>
      </c>
      <c r="E13" s="7">
        <v>0.02</v>
      </c>
      <c r="F13" s="7">
        <v>2.5000000000000001E-2</v>
      </c>
      <c r="G13" s="7">
        <v>0.02</v>
      </c>
      <c r="H13" s="7">
        <v>0.02</v>
      </c>
      <c r="I13" s="7"/>
      <c r="J13" s="7"/>
    </row>
    <row r="14" spans="1:11" x14ac:dyDescent="0.4">
      <c r="A14" s="4" t="s">
        <v>74</v>
      </c>
      <c r="C14" s="9">
        <v>0.95399999999999996</v>
      </c>
      <c r="D14" s="9">
        <v>1.004210526315789</v>
      </c>
      <c r="E14" s="9">
        <v>0.95399999999999996</v>
      </c>
      <c r="F14" s="9">
        <v>0.95399999999999996</v>
      </c>
      <c r="G14" s="9">
        <v>0.95399999999999996</v>
      </c>
      <c r="H14" s="9">
        <v>0.95399999999999996</v>
      </c>
      <c r="I14" s="9"/>
      <c r="J14" s="9"/>
    </row>
    <row r="15" spans="1:11" x14ac:dyDescent="0.4">
      <c r="A15" s="4" t="s">
        <v>75</v>
      </c>
      <c r="C15" s="7">
        <v>7.2300000000000003E-2</v>
      </c>
      <c r="D15" s="7">
        <v>7.0099999999999996E-2</v>
      </c>
      <c r="E15" s="7">
        <v>7.2300000000000003E-2</v>
      </c>
      <c r="F15" s="7">
        <v>7.2300000000000003E-2</v>
      </c>
      <c r="G15" s="7">
        <v>7.2300000000000003E-2</v>
      </c>
      <c r="H15" s="7">
        <v>7.2300000000000003E-2</v>
      </c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7.5585757106851836E-2</v>
      </c>
      <c r="D16" s="11">
        <f>MAX((MAX(Inputs!B18+((1-0.33)*D14*(1+(1-Inputs!B22)*Inputs!B21)+0.33)*Inputs!B19+IF(ISBLANK(D17),Inputs!B24,D17)+Inputs!B25+Inputs!B39,MIN(Inputs!B27,0.08)+0.025))*Inputs!B29+Inputs!B28*Inputs!B30,D15)</f>
        <v>7.7363594225536042E-2</v>
      </c>
      <c r="E16" s="11">
        <f>MAX((MAX(Inputs!B18+((1-0.33)*E14*(1+(1-Inputs!B22)*Inputs!B21)+0.33)*Inputs!B19+IF(ISBLANK(E17),Inputs!B24,E17)+Inputs!B25+Inputs!B39,MIN(Inputs!B27,0.08)+0.025))*Inputs!B29+Inputs!B28*Inputs!B30,E15)</f>
        <v>7.5585757106851836E-2</v>
      </c>
      <c r="F16" s="11">
        <f>MAX((MAX(Inputs!B18+((1-0.33)*F14*(1+(1-Inputs!B22)*Inputs!B21)+0.33)*Inputs!B19+IF(ISBLANK(F17),Inputs!B24,F17)+Inputs!B25+Inputs!B39,MIN(Inputs!B27,0.08)+0.025))*Inputs!B29+Inputs!B28*Inputs!B30,F15)</f>
        <v>7.5585757106851836E-2</v>
      </c>
      <c r="G16" s="11">
        <f>MAX((MAX(Inputs!B18+((1-0.33)*G14*(1+(1-Inputs!B22)*Inputs!B21)+0.33)*Inputs!B19+IF(ISBLANK(G17),Inputs!B24,G17)+Inputs!B25+Inputs!B39,MIN(Inputs!B27,0.08)+0.025))*Inputs!B29+Inputs!B28*Inputs!B30,G15)</f>
        <v>7.5585757106851836E-2</v>
      </c>
      <c r="H16" s="11">
        <f>MAX((MAX(Inputs!B18+((1-0.33)*H14*(1+(1-Inputs!B22)*Inputs!B21)+0.33)*Inputs!B19+IF(ISBLANK(H17),Inputs!B24,H17)+Inputs!B25+Inputs!B39,MIN(Inputs!B27,0.08)+0.025))*Inputs!B29+Inputs!B28*Inputs!B30,H15)</f>
        <v>7.5585757106851836E-2</v>
      </c>
      <c r="I16" s="11">
        <f>MAX((MAX(Inputs!B18+((1-0.33)*I14*(1+(1-Inputs!B22)*Inputs!B21)+0.33)*Inputs!B19+IF(ISBLANK(I17),Inputs!B24,I17)+Inputs!B25+Inputs!B39,MIN(Inputs!B27,0.08)+0.025))*Inputs!B29+Inputs!B28*Inputs!B30,I15)</f>
        <v>5.013851851851852E-2</v>
      </c>
      <c r="J16" s="11">
        <f>MAX((MAX(Inputs!B18+((1-0.33)*J14*(1+(1-Inputs!B22)*Inputs!B21)+0.33)*Inputs!B19+IF(ISBLANK(J17),Inputs!B24,J17)+Inputs!B25+Inputs!B39,MIN(Inputs!B27,0.08)+0.025))*Inputs!B29+Inputs!B28*Inputs!B30,J15)</f>
        <v>5.013851851851852E-2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 t="s">
        <v>83</v>
      </c>
      <c r="H18" s="18" t="s">
        <v>84</v>
      </c>
      <c r="I18" s="18"/>
      <c r="J18" s="18"/>
    </row>
    <row r="19" spans="1:10" ht="40" customHeight="1" x14ac:dyDescent="0.4">
      <c r="A19" s="17" t="s">
        <v>85</v>
      </c>
      <c r="C19" s="18" t="s">
        <v>86</v>
      </c>
      <c r="D19" s="18" t="s">
        <v>87</v>
      </c>
      <c r="E19" s="18" t="s">
        <v>88</v>
      </c>
      <c r="F19" s="18" t="s">
        <v>89</v>
      </c>
      <c r="G19" s="18" t="s">
        <v>90</v>
      </c>
      <c r="H19" s="18" t="s">
        <v>91</v>
      </c>
      <c r="I19" s="18"/>
      <c r="J19" s="18"/>
    </row>
    <row r="20" spans="1:10" ht="28" customHeight="1" x14ac:dyDescent="0.4">
      <c r="A20" s="17" t="s">
        <v>92</v>
      </c>
      <c r="C20" s="18" t="s">
        <v>93</v>
      </c>
      <c r="D20" s="18" t="s">
        <v>94</v>
      </c>
      <c r="E20" s="18" t="s">
        <v>95</v>
      </c>
      <c r="F20" s="18" t="s">
        <v>96</v>
      </c>
      <c r="G20" s="18" t="s">
        <v>97</v>
      </c>
      <c r="H20" s="18" t="s">
        <v>98</v>
      </c>
      <c r="I20" s="18"/>
      <c r="J20" s="18"/>
    </row>
    <row r="21" spans="1:10" x14ac:dyDescent="0.4">
      <c r="A21" s="4" t="s">
        <v>99</v>
      </c>
      <c r="C21" s="6">
        <f t="shared" ref="C21:J21" si="0">C5*(1+C6)^1</f>
        <v>10356.65</v>
      </c>
      <c r="D21" s="6">
        <f t="shared" si="0"/>
        <v>12996.84</v>
      </c>
      <c r="E21" s="6">
        <f t="shared" si="0"/>
        <v>8765.880000000001</v>
      </c>
      <c r="F21" s="6">
        <f t="shared" si="0"/>
        <v>6639.18</v>
      </c>
      <c r="G21" s="6">
        <f t="shared" si="0"/>
        <v>9146.34</v>
      </c>
      <c r="H21" s="6">
        <f t="shared" si="0"/>
        <v>9778.74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100</v>
      </c>
      <c r="C22" s="6">
        <f t="shared" ref="C22:J22" si="1">C5*(1+C6)^2</f>
        <v>10667.3495</v>
      </c>
      <c r="D22" s="6">
        <f t="shared" si="1"/>
        <v>13256.7768</v>
      </c>
      <c r="E22" s="6">
        <f t="shared" si="1"/>
        <v>8941.1975999999995</v>
      </c>
      <c r="F22" s="6">
        <f t="shared" si="1"/>
        <v>6771.9636</v>
      </c>
      <c r="G22" s="6">
        <f t="shared" si="1"/>
        <v>9329.2667999999994</v>
      </c>
      <c r="H22" s="6">
        <f t="shared" si="1"/>
        <v>9974.3148000000001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101</v>
      </c>
      <c r="C23" s="6">
        <f t="shared" ref="C23:J23" si="2">C5*(1+C6)^3</f>
        <v>10987.369984999999</v>
      </c>
      <c r="D23" s="6">
        <f t="shared" si="2"/>
        <v>13521.912335999999</v>
      </c>
      <c r="E23" s="6">
        <f t="shared" si="2"/>
        <v>9120.0215520000002</v>
      </c>
      <c r="F23" s="6">
        <f t="shared" si="2"/>
        <v>6907.4028719999997</v>
      </c>
      <c r="G23" s="6">
        <f t="shared" si="2"/>
        <v>9515.8521359999995</v>
      </c>
      <c r="H23" s="6">
        <f t="shared" si="2"/>
        <v>10173.801095999999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102</v>
      </c>
      <c r="C24" s="6">
        <f t="shared" ref="C24:J24" si="3">C5*(1+C6)^4</f>
        <v>11316.99108455</v>
      </c>
      <c r="D24" s="6">
        <f t="shared" si="3"/>
        <v>13792.350582720001</v>
      </c>
      <c r="E24" s="6">
        <f t="shared" si="3"/>
        <v>9302.4219830399998</v>
      </c>
      <c r="F24" s="6">
        <f t="shared" si="3"/>
        <v>7045.5509294399999</v>
      </c>
      <c r="G24" s="6">
        <f t="shared" si="3"/>
        <v>9706.1691787199998</v>
      </c>
      <c r="H24" s="6">
        <f t="shared" si="3"/>
        <v>10377.277117919999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103</v>
      </c>
      <c r="C25" s="6">
        <f t="shared" ref="C25:J25" si="4">C5*(1+C6)^5</f>
        <v>11656.500817086499</v>
      </c>
      <c r="D25" s="6">
        <f t="shared" si="4"/>
        <v>14068.1975943744</v>
      </c>
      <c r="E25" s="6">
        <f t="shared" si="4"/>
        <v>9488.4704227008006</v>
      </c>
      <c r="F25" s="6">
        <f t="shared" si="4"/>
        <v>7186.4619480288002</v>
      </c>
      <c r="G25" s="6">
        <f t="shared" si="4"/>
        <v>9900.2925622944003</v>
      </c>
      <c r="H25" s="6">
        <f t="shared" si="4"/>
        <v>10584.8226602784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104</v>
      </c>
      <c r="C26" s="7">
        <v>0.01</v>
      </c>
      <c r="D26" s="7"/>
      <c r="E26" s="7"/>
      <c r="F26" s="7">
        <v>5.0000000000000001E-3</v>
      </c>
      <c r="G26" s="7"/>
      <c r="H26" s="7"/>
      <c r="I26" s="7"/>
      <c r="J26" s="7"/>
    </row>
    <row r="27" spans="1:10" x14ac:dyDescent="0.4">
      <c r="A27" s="4" t="s">
        <v>105</v>
      </c>
      <c r="C27" s="11">
        <f t="shared" ref="C27:J27" si="5">IF(ISBLANK(C9),C7,C7+(C9-C7)*(0)/4)</f>
        <v>-4.0000000000000001E-3</v>
      </c>
      <c r="D27" s="11">
        <f t="shared" si="5"/>
        <v>4.4999999999999998E-2</v>
      </c>
      <c r="E27" s="11">
        <f t="shared" si="5"/>
        <v>8.7999999999999995E-2</v>
      </c>
      <c r="F27" s="11">
        <f t="shared" si="5"/>
        <v>0.03</v>
      </c>
      <c r="G27" s="11">
        <f t="shared" si="5"/>
        <v>0.03</v>
      </c>
      <c r="H27" s="11">
        <f t="shared" si="5"/>
        <v>0.16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106</v>
      </c>
      <c r="C28" s="11">
        <f t="shared" ref="C28:J28" si="6">IF(ISBLANK(C9),C7,C7+(C9-C7)*(1)/4)</f>
        <v>1.575E-2</v>
      </c>
      <c r="D28" s="11">
        <f t="shared" si="6"/>
        <v>5.3749999999999999E-2</v>
      </c>
      <c r="E28" s="11">
        <f t="shared" si="6"/>
        <v>9.0999999999999998E-2</v>
      </c>
      <c r="F28" s="11">
        <f t="shared" si="6"/>
        <v>4.1249999999999995E-2</v>
      </c>
      <c r="G28" s="11">
        <f t="shared" si="6"/>
        <v>3.7499999999999999E-2</v>
      </c>
      <c r="H28" s="11">
        <f t="shared" si="6"/>
        <v>0.15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107</v>
      </c>
      <c r="C29" s="11">
        <f t="shared" ref="C29:J29" si="7">IF(ISBLANK(C9),C7,C7+(C9-C7)*(2)/4)</f>
        <v>3.5500000000000004E-2</v>
      </c>
      <c r="D29" s="11">
        <f t="shared" si="7"/>
        <v>6.25E-2</v>
      </c>
      <c r="E29" s="11">
        <f t="shared" si="7"/>
        <v>9.4E-2</v>
      </c>
      <c r="F29" s="11">
        <f t="shared" si="7"/>
        <v>5.2499999999999998E-2</v>
      </c>
      <c r="G29" s="11">
        <f t="shared" si="7"/>
        <v>4.4999999999999998E-2</v>
      </c>
      <c r="H29" s="11">
        <f t="shared" si="7"/>
        <v>0.14000000000000001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108</v>
      </c>
      <c r="C30" s="11">
        <f t="shared" ref="C30:J30" si="8">IF(ISBLANK(C9),C7,C7+(C9-C7)*(3)/4)</f>
        <v>5.5249999999999994E-2</v>
      </c>
      <c r="D30" s="11">
        <f t="shared" si="8"/>
        <v>7.1250000000000008E-2</v>
      </c>
      <c r="E30" s="11">
        <f t="shared" si="8"/>
        <v>9.7000000000000003E-2</v>
      </c>
      <c r="F30" s="11">
        <f t="shared" si="8"/>
        <v>6.3750000000000001E-2</v>
      </c>
      <c r="G30" s="11">
        <f t="shared" si="8"/>
        <v>5.2499999999999998E-2</v>
      </c>
      <c r="H30" s="11">
        <f t="shared" si="8"/>
        <v>0.13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109</v>
      </c>
      <c r="C31" s="11">
        <f t="shared" ref="C31:J31" si="9">IF(ISBLANK(C9),C7,C7+(C9-C7)*(4)/4)</f>
        <v>7.4999999999999997E-2</v>
      </c>
      <c r="D31" s="11">
        <f t="shared" si="9"/>
        <v>0.08</v>
      </c>
      <c r="E31" s="11">
        <f t="shared" si="9"/>
        <v>0.1</v>
      </c>
      <c r="F31" s="11">
        <f t="shared" si="9"/>
        <v>7.4999999999999997E-2</v>
      </c>
      <c r="G31" s="11">
        <f t="shared" si="9"/>
        <v>0.06</v>
      </c>
      <c r="H31" s="11">
        <f t="shared" si="9"/>
        <v>0.12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110</v>
      </c>
      <c r="C33" s="6">
        <f t="shared" ref="C33:J37" si="10">C21*C27</f>
        <v>-41.426600000000001</v>
      </c>
      <c r="D33" s="6">
        <f t="shared" si="10"/>
        <v>584.8578</v>
      </c>
      <c r="E33" s="6">
        <f t="shared" si="10"/>
        <v>771.39744000000007</v>
      </c>
      <c r="F33" s="6">
        <f t="shared" si="10"/>
        <v>199.1754</v>
      </c>
      <c r="G33" s="6">
        <f t="shared" si="10"/>
        <v>274.39019999999999</v>
      </c>
      <c r="H33" s="6">
        <f t="shared" si="10"/>
        <v>1564.5984000000001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111</v>
      </c>
      <c r="C34" s="6">
        <f t="shared" si="10"/>
        <v>168.010754625</v>
      </c>
      <c r="D34" s="6">
        <f t="shared" si="10"/>
        <v>712.55175299999996</v>
      </c>
      <c r="E34" s="6">
        <f t="shared" si="10"/>
        <v>813.64898159999996</v>
      </c>
      <c r="F34" s="6">
        <f t="shared" si="10"/>
        <v>279.34349849999995</v>
      </c>
      <c r="G34" s="6">
        <f t="shared" si="10"/>
        <v>349.84750499999996</v>
      </c>
      <c r="H34" s="6">
        <f t="shared" si="10"/>
        <v>1496.1472200000001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112</v>
      </c>
      <c r="C35" s="6">
        <f t="shared" si="10"/>
        <v>390.05163446750004</v>
      </c>
      <c r="D35" s="6">
        <f t="shared" si="10"/>
        <v>845.11952099999996</v>
      </c>
      <c r="E35" s="6">
        <f t="shared" si="10"/>
        <v>857.28202588800002</v>
      </c>
      <c r="F35" s="6">
        <f t="shared" si="10"/>
        <v>362.63865077999998</v>
      </c>
      <c r="G35" s="6">
        <f t="shared" si="10"/>
        <v>428.21334611999998</v>
      </c>
      <c r="H35" s="6">
        <f t="shared" si="10"/>
        <v>1424.33215344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113</v>
      </c>
      <c r="C36" s="6">
        <f t="shared" si="10"/>
        <v>625.26375742138737</v>
      </c>
      <c r="D36" s="6">
        <f t="shared" si="10"/>
        <v>982.70497901880015</v>
      </c>
      <c r="E36" s="6">
        <f t="shared" si="10"/>
        <v>902.33493235488004</v>
      </c>
      <c r="F36" s="6">
        <f t="shared" si="10"/>
        <v>449.15387175180001</v>
      </c>
      <c r="G36" s="6">
        <f t="shared" si="10"/>
        <v>509.57388188279998</v>
      </c>
      <c r="H36" s="6">
        <f t="shared" si="10"/>
        <v>1349.0460253295998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114</v>
      </c>
      <c r="C37" s="6">
        <f t="shared" si="10"/>
        <v>874.23756128148739</v>
      </c>
      <c r="D37" s="6">
        <f t="shared" si="10"/>
        <v>1125.4558075499519</v>
      </c>
      <c r="E37" s="6">
        <f t="shared" si="10"/>
        <v>948.84704227008012</v>
      </c>
      <c r="F37" s="6">
        <f t="shared" si="10"/>
        <v>538.98464610216001</v>
      </c>
      <c r="G37" s="6">
        <f t="shared" si="10"/>
        <v>594.017553737664</v>
      </c>
      <c r="H37" s="6">
        <f t="shared" si="10"/>
        <v>1270.1787192334079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115</v>
      </c>
      <c r="C39" s="6">
        <f>C33*(1-Inputs!B22)</f>
        <v>-30.241417999999999</v>
      </c>
      <c r="D39" s="6">
        <f>D33*(1-Inputs!B22)</f>
        <v>426.94619399999999</v>
      </c>
      <c r="E39" s="6">
        <f>E33*(1-Inputs!B22)</f>
        <v>563.12013120000006</v>
      </c>
      <c r="F39" s="6">
        <f>F33*(1-Inputs!B22)</f>
        <v>145.398042</v>
      </c>
      <c r="G39" s="6">
        <f>G33*(1-Inputs!B22)</f>
        <v>200.304846</v>
      </c>
      <c r="H39" s="6">
        <f>H33*(1-Inputs!B22)</f>
        <v>1142.1568320000001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116</v>
      </c>
      <c r="C40" s="6">
        <f>C34*(1-Inputs!B22)</f>
        <v>122.64785087625</v>
      </c>
      <c r="D40" s="6">
        <f>D34*(1-Inputs!B22)</f>
        <v>520.16277968999998</v>
      </c>
      <c r="E40" s="6">
        <f>E34*(1-Inputs!B22)</f>
        <v>593.96375656800001</v>
      </c>
      <c r="F40" s="6">
        <f>F34*(1-Inputs!B22)</f>
        <v>203.92075390499997</v>
      </c>
      <c r="G40" s="6">
        <f>G34*(1-Inputs!B22)</f>
        <v>255.38867864999997</v>
      </c>
      <c r="H40" s="6">
        <f>H34*(1-Inputs!B22)</f>
        <v>1092.1874706000001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117</v>
      </c>
      <c r="C41" s="6">
        <f>C35*(1-Inputs!B22)</f>
        <v>284.73769316127505</v>
      </c>
      <c r="D41" s="6">
        <f>D35*(1-Inputs!B22)</f>
        <v>616.93725032999998</v>
      </c>
      <c r="E41" s="6">
        <f>E35*(1-Inputs!B22)</f>
        <v>625.81587889824004</v>
      </c>
      <c r="F41" s="6">
        <f>F35*(1-Inputs!B22)</f>
        <v>264.72621506939998</v>
      </c>
      <c r="G41" s="6">
        <f>G35*(1-Inputs!B22)</f>
        <v>312.59574266760001</v>
      </c>
      <c r="H41" s="6">
        <f>H35*(1-Inputs!B22)</f>
        <v>1039.7624720111999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118</v>
      </c>
      <c r="C42" s="6">
        <f>C36*(1-Inputs!B22)</f>
        <v>456.44254291761274</v>
      </c>
      <c r="D42" s="6">
        <f>D36*(1-Inputs!B22)</f>
        <v>717.37463468372414</v>
      </c>
      <c r="E42" s="6">
        <f>E36*(1-Inputs!B22)</f>
        <v>658.7045006190624</v>
      </c>
      <c r="F42" s="6">
        <f>F36*(1-Inputs!B22)</f>
        <v>327.88232637881401</v>
      </c>
      <c r="G42" s="6">
        <f>G36*(1-Inputs!B22)</f>
        <v>371.98893377444398</v>
      </c>
      <c r="H42" s="6">
        <f>H36*(1-Inputs!B22)</f>
        <v>984.8035984906079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119</v>
      </c>
      <c r="C43" s="6">
        <f>C37*(1-Inputs!B22)</f>
        <v>638.1934197354858</v>
      </c>
      <c r="D43" s="6">
        <f>D37*(1-Inputs!B22)</f>
        <v>821.58273951146487</v>
      </c>
      <c r="E43" s="6">
        <f>E37*(1-Inputs!B22)</f>
        <v>692.65834085715846</v>
      </c>
      <c r="F43" s="6">
        <f>F37*(1-Inputs!B22)</f>
        <v>393.45879165457683</v>
      </c>
      <c r="G43" s="6">
        <f>G37*(1-Inputs!B22)</f>
        <v>433.63281422849474</v>
      </c>
      <c r="H43" s="6">
        <f>H37*(1-Inputs!B22)</f>
        <v>927.2304650403878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120</v>
      </c>
      <c r="C45" s="6">
        <f t="shared" ref="C45:J45" si="11">C21*IF(ISBLANK(C26),C12,C12+(C26-C12)*(0)/4)</f>
        <v>-414.26600000000002</v>
      </c>
      <c r="D45" s="6">
        <f t="shared" si="11"/>
        <v>64.984200000000001</v>
      </c>
      <c r="E45" s="6">
        <f t="shared" si="11"/>
        <v>0</v>
      </c>
      <c r="F45" s="6">
        <f t="shared" si="11"/>
        <v>99.587699999999998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121</v>
      </c>
      <c r="C46" s="6">
        <f t="shared" ref="C46:J46" si="12">C22*IF(ISBLANK(C26),C12,C12+(C26-C12)*(1)/4)</f>
        <v>-293.35211125000001</v>
      </c>
      <c r="D46" s="6">
        <f t="shared" si="12"/>
        <v>66.283884</v>
      </c>
      <c r="E46" s="6">
        <f t="shared" si="12"/>
        <v>0</v>
      </c>
      <c r="F46" s="6">
        <f t="shared" si="12"/>
        <v>84.649545000000003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122</v>
      </c>
      <c r="C47" s="6">
        <f t="shared" ref="C47:J47" si="13">C23*IF(ISBLANK(C26),C12,C12+(C26-C12)*(2)/4)</f>
        <v>-164.810549775</v>
      </c>
      <c r="D47" s="6">
        <f t="shared" si="13"/>
        <v>67.609561679999999</v>
      </c>
      <c r="E47" s="6">
        <f t="shared" si="13"/>
        <v>0</v>
      </c>
      <c r="F47" s="6">
        <f t="shared" si="13"/>
        <v>69.074028720000001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123</v>
      </c>
      <c r="C48" s="6">
        <f t="shared" ref="C48:J48" si="14">C24*IF(ISBLANK(C26),C12,C12+(C26-C12)*(3)/4)</f>
        <v>-28.292477711374946</v>
      </c>
      <c r="D48" s="6">
        <f t="shared" si="14"/>
        <v>68.961752913600009</v>
      </c>
      <c r="E48" s="6">
        <f t="shared" si="14"/>
        <v>0</v>
      </c>
      <c r="F48" s="6">
        <f t="shared" si="14"/>
        <v>52.841631970800002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124</v>
      </c>
      <c r="C49" s="6">
        <f t="shared" ref="C49:J49" si="15">C25*IF(ISBLANK(C26),C12,C12+(C26-C12)*(4)/4)</f>
        <v>116.56500817086501</v>
      </c>
      <c r="D49" s="6">
        <f t="shared" si="15"/>
        <v>70.340987971871996</v>
      </c>
      <c r="E49" s="6">
        <f t="shared" si="15"/>
        <v>0</v>
      </c>
      <c r="F49" s="6">
        <f t="shared" si="15"/>
        <v>35.932309740144007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125</v>
      </c>
      <c r="C51" s="6">
        <f t="shared" ref="C51:J55" si="16">C39-C45</f>
        <v>384.02458200000001</v>
      </c>
      <c r="D51" s="6">
        <f t="shared" si="16"/>
        <v>361.961994</v>
      </c>
      <c r="E51" s="6">
        <f t="shared" si="16"/>
        <v>563.12013120000006</v>
      </c>
      <c r="F51" s="6">
        <f t="shared" si="16"/>
        <v>45.810342000000006</v>
      </c>
      <c r="G51" s="6">
        <f t="shared" si="16"/>
        <v>200.304846</v>
      </c>
      <c r="H51" s="6">
        <f t="shared" si="16"/>
        <v>1142.1568320000001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126</v>
      </c>
      <c r="C52" s="6">
        <f t="shared" si="16"/>
        <v>415.99996212625001</v>
      </c>
      <c r="D52" s="6">
        <f t="shared" si="16"/>
        <v>453.87889568999998</v>
      </c>
      <c r="E52" s="6">
        <f t="shared" si="16"/>
        <v>593.96375656800001</v>
      </c>
      <c r="F52" s="6">
        <f t="shared" si="16"/>
        <v>119.27120890499997</v>
      </c>
      <c r="G52" s="6">
        <f t="shared" si="16"/>
        <v>255.38867864999997</v>
      </c>
      <c r="H52" s="6">
        <f t="shared" si="16"/>
        <v>1092.1874706000001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127</v>
      </c>
      <c r="C53" s="6">
        <f t="shared" si="16"/>
        <v>449.54824293627507</v>
      </c>
      <c r="D53" s="6">
        <f t="shared" si="16"/>
        <v>549.32768865000003</v>
      </c>
      <c r="E53" s="6">
        <f t="shared" si="16"/>
        <v>625.81587889824004</v>
      </c>
      <c r="F53" s="6">
        <f t="shared" si="16"/>
        <v>195.65218634939998</v>
      </c>
      <c r="G53" s="6">
        <f t="shared" si="16"/>
        <v>312.59574266760001</v>
      </c>
      <c r="H53" s="6">
        <f t="shared" si="16"/>
        <v>1039.7624720111999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128</v>
      </c>
      <c r="C54" s="6">
        <f t="shared" si="16"/>
        <v>484.73502062898768</v>
      </c>
      <c r="D54" s="6">
        <f t="shared" si="16"/>
        <v>648.41288177012416</v>
      </c>
      <c r="E54" s="6">
        <f t="shared" si="16"/>
        <v>658.7045006190624</v>
      </c>
      <c r="F54" s="6">
        <f t="shared" si="16"/>
        <v>275.04069440801402</v>
      </c>
      <c r="G54" s="6">
        <f t="shared" si="16"/>
        <v>371.98893377444398</v>
      </c>
      <c r="H54" s="6">
        <f t="shared" si="16"/>
        <v>984.8035984906079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129</v>
      </c>
      <c r="C55" s="6">
        <f t="shared" si="16"/>
        <v>521.62841156462082</v>
      </c>
      <c r="D55" s="6">
        <f t="shared" si="16"/>
        <v>751.24175153959288</v>
      </c>
      <c r="E55" s="6">
        <f t="shared" si="16"/>
        <v>692.65834085715846</v>
      </c>
      <c r="F55" s="6">
        <f t="shared" si="16"/>
        <v>357.52648191443279</v>
      </c>
      <c r="G55" s="6">
        <f t="shared" si="16"/>
        <v>433.63281422849474</v>
      </c>
      <c r="H55" s="6">
        <f t="shared" si="16"/>
        <v>927.2304650403878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130</v>
      </c>
      <c r="C57" s="6">
        <f t="shared" ref="C57:J57" si="17">C51/((1+C16))</f>
        <v>357.03762295343398</v>
      </c>
      <c r="D57" s="6">
        <f t="shared" si="17"/>
        <v>335.97013667442218</v>
      </c>
      <c r="E57" s="6">
        <f t="shared" si="17"/>
        <v>523.54740426714113</v>
      </c>
      <c r="F57" s="6">
        <f t="shared" si="17"/>
        <v>42.591064168813709</v>
      </c>
      <c r="G57" s="6">
        <f t="shared" si="17"/>
        <v>186.2286151304076</v>
      </c>
      <c r="H57" s="6">
        <f t="shared" si="17"/>
        <v>1061.8928564768405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131</v>
      </c>
      <c r="C58" s="6">
        <f t="shared" ref="C58:J58" si="18">C52/((1+C16)*(1+C16+(C104-C16)*1/5))</f>
        <v>359.75836289257199</v>
      </c>
      <c r="D58" s="6">
        <f t="shared" si="18"/>
        <v>391.35075110785056</v>
      </c>
      <c r="E58" s="6">
        <f t="shared" si="18"/>
        <v>513.66213493927194</v>
      </c>
      <c r="F58" s="6">
        <f t="shared" si="18"/>
        <v>103.14619894811079</v>
      </c>
      <c r="G58" s="6">
        <f t="shared" si="18"/>
        <v>220.86110888764318</v>
      </c>
      <c r="H58" s="6">
        <f t="shared" si="18"/>
        <v>944.52791386454135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132</v>
      </c>
      <c r="C59" s="6">
        <f t="shared" ref="C59:J59" si="19">C53/((1+C16)*(1+C16+(C104-C16)*1/5)*(1+C16+(C104-C16)*2/5))</f>
        <v>361.79649358027916</v>
      </c>
      <c r="D59" s="6">
        <f t="shared" si="19"/>
        <v>440.34919622796519</v>
      </c>
      <c r="E59" s="6">
        <f t="shared" si="19"/>
        <v>503.65671353394515</v>
      </c>
      <c r="F59" s="6">
        <f t="shared" si="19"/>
        <v>157.46090902320012</v>
      </c>
      <c r="G59" s="6">
        <f t="shared" si="19"/>
        <v>251.57710075021399</v>
      </c>
      <c r="H59" s="6">
        <f t="shared" si="19"/>
        <v>836.80099397772608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133</v>
      </c>
      <c r="C60" s="6">
        <f t="shared" ref="C60:J60" si="20">C54/((1+C16)*(1+C16+(C104-C16)*1/5)*(1+C16+(C104-C16)*2/5)*(1+C16+(C104-C16)*3/5))</f>
        <v>363.22085748128319</v>
      </c>
      <c r="D60" s="6">
        <f t="shared" si="20"/>
        <v>483.62442859905099</v>
      </c>
      <c r="E60" s="6">
        <f t="shared" si="20"/>
        <v>493.57938535404543</v>
      </c>
      <c r="F60" s="6">
        <f t="shared" si="20"/>
        <v>206.09304591918371</v>
      </c>
      <c r="G60" s="6">
        <f t="shared" si="20"/>
        <v>278.73814300394253</v>
      </c>
      <c r="H60" s="6">
        <f t="shared" si="20"/>
        <v>737.93143113584438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134</v>
      </c>
      <c r="C61" s="6">
        <f t="shared" ref="C61:J61" si="21">C55/((1+C16)*(1+C16+(C104-C16)*1/5)*(1+C16+(C104-C16)*2/5)*(1+C16+(C104-C16)*3/5)*(1+C16+(C104-C16)*4/5))</f>
        <v>364.09435382899568</v>
      </c>
      <c r="D61" s="6">
        <f t="shared" si="21"/>
        <v>521.76965220653597</v>
      </c>
      <c r="E61" s="6">
        <f t="shared" si="21"/>
        <v>483.47249775410091</v>
      </c>
      <c r="F61" s="6">
        <f t="shared" si="21"/>
        <v>249.55192340642526</v>
      </c>
      <c r="G61" s="6">
        <f t="shared" si="21"/>
        <v>302.67381107942907</v>
      </c>
      <c r="H61" s="6">
        <f t="shared" si="21"/>
        <v>647.20281628604585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135</v>
      </c>
    </row>
    <row r="63" spans="1:10" x14ac:dyDescent="0.4">
      <c r="A63" s="4" t="s">
        <v>136</v>
      </c>
      <c r="C63" s="6">
        <f t="shared" ref="C63:J63" si="22">C25*(1+(C6+(C13-C6)*1/5))</f>
        <v>11982.882839964921</v>
      </c>
      <c r="D63" s="6">
        <f t="shared" si="22"/>
        <v>14349.561546261888</v>
      </c>
      <c r="E63" s="6">
        <f t="shared" si="22"/>
        <v>9678.2398311548168</v>
      </c>
      <c r="F63" s="6">
        <f t="shared" si="22"/>
        <v>7337.377648937404</v>
      </c>
      <c r="G63" s="6">
        <f t="shared" si="22"/>
        <v>10098.298413540289</v>
      </c>
      <c r="H63" s="6">
        <f t="shared" si="22"/>
        <v>10796.519113483968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137</v>
      </c>
      <c r="C64" s="6">
        <f t="shared" ref="C64:J64" si="23">C63*(1+(C6+(C13-C6)*2/5))</f>
        <v>12294.437793804009</v>
      </c>
      <c r="D64" s="6">
        <f t="shared" si="23"/>
        <v>14636.552777187126</v>
      </c>
      <c r="E64" s="6">
        <f t="shared" si="23"/>
        <v>9871.804627777914</v>
      </c>
      <c r="F64" s="6">
        <f t="shared" si="23"/>
        <v>7498.799957214027</v>
      </c>
      <c r="G64" s="6">
        <f t="shared" si="23"/>
        <v>10300.264381811096</v>
      </c>
      <c r="H64" s="6">
        <f t="shared" si="23"/>
        <v>11012.449495753648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138</v>
      </c>
      <c r="C65" s="6">
        <f t="shared" ref="C65:J65" si="24">C64*(1+(C6+(C13-C6)*3/5))</f>
        <v>12589.504300855306</v>
      </c>
      <c r="D65" s="6">
        <f t="shared" si="24"/>
        <v>14929.283832730869</v>
      </c>
      <c r="E65" s="6">
        <f t="shared" si="24"/>
        <v>10069.240720333473</v>
      </c>
      <c r="F65" s="6">
        <f t="shared" si="24"/>
        <v>7671.2723562299489</v>
      </c>
      <c r="G65" s="6">
        <f t="shared" si="24"/>
        <v>10506.269669447318</v>
      </c>
      <c r="H65" s="6">
        <f t="shared" si="24"/>
        <v>11232.698485668721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139</v>
      </c>
      <c r="C66" s="6">
        <f t="shared" ref="C66:J66" si="25">C65*(1+(C6+(C13-C6)*4/5))</f>
        <v>12866.473395474122</v>
      </c>
      <c r="D66" s="6">
        <f t="shared" si="25"/>
        <v>15227.869509385488</v>
      </c>
      <c r="E66" s="6">
        <f t="shared" si="25"/>
        <v>10270.625534740142</v>
      </c>
      <c r="F66" s="6">
        <f t="shared" si="25"/>
        <v>7855.3828927794675</v>
      </c>
      <c r="G66" s="6">
        <f t="shared" si="25"/>
        <v>10716.395062836264</v>
      </c>
      <c r="H66" s="6">
        <f t="shared" si="25"/>
        <v>11457.352455382095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140</v>
      </c>
      <c r="C67" s="6">
        <f t="shared" ref="C67:J67" si="26">C66*(1+(C6+(C13-C6)*5/5))</f>
        <v>13123.802863383606</v>
      </c>
      <c r="D67" s="6">
        <f t="shared" si="26"/>
        <v>15532.426899573198</v>
      </c>
      <c r="E67" s="6">
        <f t="shared" si="26"/>
        <v>10476.038045434945</v>
      </c>
      <c r="F67" s="6">
        <f t="shared" si="26"/>
        <v>8051.7674650989538</v>
      </c>
      <c r="G67" s="6">
        <f t="shared" si="26"/>
        <v>10930.722964092989</v>
      </c>
      <c r="H67" s="6">
        <f t="shared" si="26"/>
        <v>11686.499504489737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141</v>
      </c>
      <c r="C69" s="11">
        <f t="shared" ref="C69:J69" si="27">IF(ISBLANK(C9),C7,C9)</f>
        <v>7.4999999999999997E-2</v>
      </c>
      <c r="D69" s="11">
        <f t="shared" si="27"/>
        <v>0.08</v>
      </c>
      <c r="E69" s="11">
        <f t="shared" si="27"/>
        <v>0.1</v>
      </c>
      <c r="F69" s="11">
        <f t="shared" si="27"/>
        <v>7.4999999999999997E-2</v>
      </c>
      <c r="G69" s="11">
        <f t="shared" si="27"/>
        <v>0.06</v>
      </c>
      <c r="H69" s="11">
        <f t="shared" si="27"/>
        <v>0.12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142</v>
      </c>
      <c r="C70" s="11">
        <f t="shared" ref="C70:J70" si="28">IF(ISBLANK(C9),C7,C9)</f>
        <v>7.4999999999999997E-2</v>
      </c>
      <c r="D70" s="11">
        <f t="shared" si="28"/>
        <v>0.08</v>
      </c>
      <c r="E70" s="11">
        <f t="shared" si="28"/>
        <v>0.1</v>
      </c>
      <c r="F70" s="11">
        <f t="shared" si="28"/>
        <v>7.4999999999999997E-2</v>
      </c>
      <c r="G70" s="11">
        <f t="shared" si="28"/>
        <v>0.06</v>
      </c>
      <c r="H70" s="11">
        <f t="shared" si="28"/>
        <v>0.12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143</v>
      </c>
      <c r="C71" s="11">
        <f t="shared" ref="C71:J71" si="29">IF(ISBLANK(C9),C7,C9)</f>
        <v>7.4999999999999997E-2</v>
      </c>
      <c r="D71" s="11">
        <f t="shared" si="29"/>
        <v>0.08</v>
      </c>
      <c r="E71" s="11">
        <f t="shared" si="29"/>
        <v>0.1</v>
      </c>
      <c r="F71" s="11">
        <f t="shared" si="29"/>
        <v>7.4999999999999997E-2</v>
      </c>
      <c r="G71" s="11">
        <f t="shared" si="29"/>
        <v>0.06</v>
      </c>
      <c r="H71" s="11">
        <f t="shared" si="29"/>
        <v>0.12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144</v>
      </c>
      <c r="C72" s="11">
        <f t="shared" ref="C72:J72" si="30">IF(ISBLANK(C9),C7,C9)</f>
        <v>7.4999999999999997E-2</v>
      </c>
      <c r="D72" s="11">
        <f t="shared" si="30"/>
        <v>0.08</v>
      </c>
      <c r="E72" s="11">
        <f t="shared" si="30"/>
        <v>0.1</v>
      </c>
      <c r="F72" s="11">
        <f t="shared" si="30"/>
        <v>7.4999999999999997E-2</v>
      </c>
      <c r="G72" s="11">
        <f t="shared" si="30"/>
        <v>0.06</v>
      </c>
      <c r="H72" s="11">
        <f t="shared" si="30"/>
        <v>0.12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145</v>
      </c>
      <c r="C73" s="11">
        <f t="shared" ref="C73:J73" si="31">IF(ISBLANK(C9),C7,C9)</f>
        <v>7.4999999999999997E-2</v>
      </c>
      <c r="D73" s="11">
        <f t="shared" si="31"/>
        <v>0.08</v>
      </c>
      <c r="E73" s="11">
        <f t="shared" si="31"/>
        <v>0.1</v>
      </c>
      <c r="F73" s="11">
        <f t="shared" si="31"/>
        <v>7.4999999999999997E-2</v>
      </c>
      <c r="G73" s="11">
        <f t="shared" si="31"/>
        <v>0.06</v>
      </c>
      <c r="H73" s="11">
        <f t="shared" si="31"/>
        <v>0.12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146</v>
      </c>
      <c r="C75" s="6">
        <f t="shared" ref="C75:J79" si="32">C63*C69</f>
        <v>898.7162129973691</v>
      </c>
      <c r="D75" s="6">
        <f t="shared" si="32"/>
        <v>1147.964923700951</v>
      </c>
      <c r="E75" s="6">
        <f t="shared" si="32"/>
        <v>967.82398311548172</v>
      </c>
      <c r="F75" s="6">
        <f t="shared" si="32"/>
        <v>550.3033236703053</v>
      </c>
      <c r="G75" s="6">
        <f t="shared" si="32"/>
        <v>605.89790481241732</v>
      </c>
      <c r="H75" s="6">
        <f t="shared" si="32"/>
        <v>1295.5822936180762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147</v>
      </c>
      <c r="C76" s="6">
        <f t="shared" si="32"/>
        <v>922.08283453530066</v>
      </c>
      <c r="D76" s="6">
        <f t="shared" si="32"/>
        <v>1170.9242221749701</v>
      </c>
      <c r="E76" s="6">
        <f t="shared" si="32"/>
        <v>987.18046277779149</v>
      </c>
      <c r="F76" s="6">
        <f t="shared" si="32"/>
        <v>562.40999679105198</v>
      </c>
      <c r="G76" s="6">
        <f t="shared" si="32"/>
        <v>618.01586290866567</v>
      </c>
      <c r="H76" s="6">
        <f t="shared" si="32"/>
        <v>1321.4939394904377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148</v>
      </c>
      <c r="C77" s="6">
        <f t="shared" si="32"/>
        <v>944.21282256414793</v>
      </c>
      <c r="D77" s="6">
        <f t="shared" si="32"/>
        <v>1194.3427066184695</v>
      </c>
      <c r="E77" s="6">
        <f t="shared" si="32"/>
        <v>1006.9240720333473</v>
      </c>
      <c r="F77" s="6">
        <f t="shared" si="32"/>
        <v>575.34542671724614</v>
      </c>
      <c r="G77" s="6">
        <f t="shared" si="32"/>
        <v>630.37618016683905</v>
      </c>
      <c r="H77" s="6">
        <f t="shared" si="32"/>
        <v>1347.9238182802465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149</v>
      </c>
      <c r="C78" s="6">
        <f t="shared" si="32"/>
        <v>964.98550466055917</v>
      </c>
      <c r="D78" s="6">
        <f t="shared" si="32"/>
        <v>1218.229560750839</v>
      </c>
      <c r="E78" s="6">
        <f t="shared" si="32"/>
        <v>1027.0625534740143</v>
      </c>
      <c r="F78" s="6">
        <f t="shared" si="32"/>
        <v>589.15371695846</v>
      </c>
      <c r="G78" s="6">
        <f t="shared" si="32"/>
        <v>642.98370377017579</v>
      </c>
      <c r="H78" s="6">
        <f t="shared" si="32"/>
        <v>1374.8822946458513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150</v>
      </c>
      <c r="C79" s="6">
        <f t="shared" si="32"/>
        <v>984.28521475377033</v>
      </c>
      <c r="D79" s="6">
        <f t="shared" si="32"/>
        <v>1242.5941519658559</v>
      </c>
      <c r="E79" s="6">
        <f t="shared" si="32"/>
        <v>1047.6038045434946</v>
      </c>
      <c r="F79" s="6">
        <f t="shared" si="32"/>
        <v>603.88255988242156</v>
      </c>
      <c r="G79" s="6">
        <f t="shared" si="32"/>
        <v>655.84337784557931</v>
      </c>
      <c r="H79" s="6">
        <f t="shared" si="32"/>
        <v>1402.3799405387683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151</v>
      </c>
      <c r="C81" s="6">
        <f>C75*(1-Inputs!B22)</f>
        <v>656.06283548807937</v>
      </c>
      <c r="D81" s="6">
        <f>D75*(1-Inputs!B22)</f>
        <v>838.01439430169421</v>
      </c>
      <c r="E81" s="6">
        <f>E75*(1-Inputs!B22)</f>
        <v>706.5115076743017</v>
      </c>
      <c r="F81" s="6">
        <f>F75*(1-Inputs!B22)</f>
        <v>401.72142627932288</v>
      </c>
      <c r="G81" s="6">
        <f>G75*(1-Inputs!B22)</f>
        <v>442.30547051306462</v>
      </c>
      <c r="H81" s="6">
        <f>H75*(1-Inputs!B22)</f>
        <v>945.77507434119559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152</v>
      </c>
      <c r="C82" s="6">
        <f>C76*(1-Inputs!B22)</f>
        <v>673.12046921076944</v>
      </c>
      <c r="D82" s="6">
        <f>D76*(1-Inputs!B22)</f>
        <v>854.7746821877281</v>
      </c>
      <c r="E82" s="6">
        <f>E76*(1-Inputs!B22)</f>
        <v>720.64173782778778</v>
      </c>
      <c r="F82" s="6">
        <f>F76*(1-Inputs!B22)</f>
        <v>410.55929765746794</v>
      </c>
      <c r="G82" s="6">
        <f>G76*(1-Inputs!B22)</f>
        <v>451.15157992332593</v>
      </c>
      <c r="H82" s="6">
        <f>H76*(1-Inputs!B22)</f>
        <v>964.69057582801952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153</v>
      </c>
      <c r="C83" s="6">
        <f>C77*(1-Inputs!B22)</f>
        <v>689.27536047182798</v>
      </c>
      <c r="D83" s="6">
        <f>D77*(1-Inputs!B22)</f>
        <v>871.8701758314827</v>
      </c>
      <c r="E83" s="6">
        <f>E77*(1-Inputs!B22)</f>
        <v>735.05457258434353</v>
      </c>
      <c r="F83" s="6">
        <f>F77*(1-Inputs!B22)</f>
        <v>420.00216150358966</v>
      </c>
      <c r="G83" s="6">
        <f>G77*(1-Inputs!B22)</f>
        <v>460.17461152179249</v>
      </c>
      <c r="H83" s="6">
        <f>H77*(1-Inputs!B22)</f>
        <v>983.98438734457989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154</v>
      </c>
      <c r="C84" s="6">
        <f>C78*(1-Inputs!B22)</f>
        <v>704.43941840220816</v>
      </c>
      <c r="D84" s="6">
        <f>D78*(1-Inputs!B22)</f>
        <v>889.30757934811243</v>
      </c>
      <c r="E84" s="6">
        <f>E78*(1-Inputs!B22)</f>
        <v>749.75566403603045</v>
      </c>
      <c r="F84" s="6">
        <f>F78*(1-Inputs!B22)</f>
        <v>430.08221337967581</v>
      </c>
      <c r="G84" s="6">
        <f>G78*(1-Inputs!B22)</f>
        <v>469.3781037522283</v>
      </c>
      <c r="H84" s="6">
        <f>H78*(1-Inputs!B22)</f>
        <v>1003.6640750914714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155</v>
      </c>
      <c r="C85" s="6">
        <f>C79*(1-Inputs!B22)</f>
        <v>718.52820677025238</v>
      </c>
      <c r="D85" s="6">
        <f>D79*(1-Inputs!B22)</f>
        <v>907.09373093507475</v>
      </c>
      <c r="E85" s="6">
        <f>E79*(1-Inputs!B22)</f>
        <v>764.75077731675105</v>
      </c>
      <c r="F85" s="6">
        <f>F79*(1-Inputs!B22)</f>
        <v>440.83426871416771</v>
      </c>
      <c r="G85" s="6">
        <f>G79*(1-Inputs!B22)</f>
        <v>478.76566582727287</v>
      </c>
      <c r="H85" s="6">
        <f>H79*(1-Inputs!B22)</f>
        <v>1023.7373565933009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156</v>
      </c>
      <c r="C87" s="6">
        <f t="shared" ref="C87:J87" si="33">C63*MAX(IF(ISBLANK(C26),C12,C26),0)</f>
        <v>119.82882839964921</v>
      </c>
      <c r="D87" s="6">
        <f t="shared" si="33"/>
        <v>71.747807731309436</v>
      </c>
      <c r="E87" s="6">
        <f t="shared" si="33"/>
        <v>0</v>
      </c>
      <c r="F87" s="6">
        <f t="shared" si="33"/>
        <v>36.686888244687019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157</v>
      </c>
      <c r="C88" s="6">
        <f t="shared" ref="C88:J88" si="34">C64*MAX(IF(ISBLANK(C26),C12,C26),0)</f>
        <v>122.94437793804009</v>
      </c>
      <c r="D88" s="6">
        <f t="shared" si="34"/>
        <v>73.182763885935628</v>
      </c>
      <c r="E88" s="6">
        <f t="shared" si="34"/>
        <v>0</v>
      </c>
      <c r="F88" s="6">
        <f t="shared" si="34"/>
        <v>37.493999786070134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158</v>
      </c>
      <c r="C89" s="6">
        <f t="shared" ref="C89:J89" si="35">C65*MAX(IF(ISBLANK(C26),C12,C26),0)</f>
        <v>125.89504300855306</v>
      </c>
      <c r="D89" s="6">
        <f t="shared" si="35"/>
        <v>74.646419163654343</v>
      </c>
      <c r="E89" s="6">
        <f t="shared" si="35"/>
        <v>0</v>
      </c>
      <c r="F89" s="6">
        <f t="shared" si="35"/>
        <v>38.356361781149744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159</v>
      </c>
      <c r="C90" s="6">
        <f t="shared" ref="C90:J90" si="36">C66*MAX(IF(ISBLANK(C26),C12,C26),0)</f>
        <v>128.66473395474122</v>
      </c>
      <c r="D90" s="6">
        <f t="shared" si="36"/>
        <v>76.139347546927439</v>
      </c>
      <c r="E90" s="6">
        <f t="shared" si="36"/>
        <v>0</v>
      </c>
      <c r="F90" s="6">
        <f t="shared" si="36"/>
        <v>39.276914463897342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160</v>
      </c>
      <c r="C91" s="6">
        <f t="shared" ref="C91:J91" si="37">C67*MAX(IF(ISBLANK(C26),C12,C26),0)</f>
        <v>131.23802863383605</v>
      </c>
      <c r="D91" s="6">
        <f t="shared" si="37"/>
        <v>77.662134497865992</v>
      </c>
      <c r="E91" s="6">
        <f t="shared" si="37"/>
        <v>0</v>
      </c>
      <c r="F91" s="6">
        <f t="shared" si="37"/>
        <v>40.258837325494767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161</v>
      </c>
      <c r="C93" s="6">
        <f t="shared" ref="C93:J97" si="38">C81-C87</f>
        <v>536.23400708843019</v>
      </c>
      <c r="D93" s="6">
        <f t="shared" si="38"/>
        <v>766.26658657038479</v>
      </c>
      <c r="E93" s="6">
        <f t="shared" si="38"/>
        <v>706.5115076743017</v>
      </c>
      <c r="F93" s="6">
        <f t="shared" si="38"/>
        <v>365.03453803463589</v>
      </c>
      <c r="G93" s="6">
        <f t="shared" si="38"/>
        <v>442.30547051306462</v>
      </c>
      <c r="H93" s="6">
        <f t="shared" si="38"/>
        <v>945.77507434119559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162</v>
      </c>
      <c r="C94" s="6">
        <f t="shared" si="38"/>
        <v>550.17609127272931</v>
      </c>
      <c r="D94" s="6">
        <f t="shared" si="38"/>
        <v>781.59191830179248</v>
      </c>
      <c r="E94" s="6">
        <f t="shared" si="38"/>
        <v>720.64173782778778</v>
      </c>
      <c r="F94" s="6">
        <f t="shared" si="38"/>
        <v>373.06529787139777</v>
      </c>
      <c r="G94" s="6">
        <f t="shared" si="38"/>
        <v>451.15157992332593</v>
      </c>
      <c r="H94" s="6">
        <f t="shared" si="38"/>
        <v>964.69057582801952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163</v>
      </c>
      <c r="C95" s="6">
        <f t="shared" si="38"/>
        <v>563.38031746327488</v>
      </c>
      <c r="D95" s="6">
        <f t="shared" si="38"/>
        <v>797.22375666782841</v>
      </c>
      <c r="E95" s="6">
        <f t="shared" si="38"/>
        <v>735.05457258434353</v>
      </c>
      <c r="F95" s="6">
        <f t="shared" si="38"/>
        <v>381.6457997224399</v>
      </c>
      <c r="G95" s="6">
        <f t="shared" si="38"/>
        <v>460.17461152179249</v>
      </c>
      <c r="H95" s="6">
        <f t="shared" si="38"/>
        <v>983.98438734457989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164</v>
      </c>
      <c r="C96" s="6">
        <f t="shared" si="38"/>
        <v>575.77468444746694</v>
      </c>
      <c r="D96" s="6">
        <f t="shared" si="38"/>
        <v>813.16823180118502</v>
      </c>
      <c r="E96" s="6">
        <f t="shared" si="38"/>
        <v>749.75566403603045</v>
      </c>
      <c r="F96" s="6">
        <f t="shared" si="38"/>
        <v>390.80529891577845</v>
      </c>
      <c r="G96" s="6">
        <f t="shared" si="38"/>
        <v>469.3781037522283</v>
      </c>
      <c r="H96" s="6">
        <f t="shared" si="38"/>
        <v>1003.6640750914714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165</v>
      </c>
      <c r="C97" s="6">
        <f t="shared" si="38"/>
        <v>587.29017813641633</v>
      </c>
      <c r="D97" s="6">
        <f t="shared" si="38"/>
        <v>829.43159643720878</v>
      </c>
      <c r="E97" s="6">
        <f t="shared" si="38"/>
        <v>764.75077731675105</v>
      </c>
      <c r="F97" s="6">
        <f t="shared" si="38"/>
        <v>400.57543138867294</v>
      </c>
      <c r="G97" s="6">
        <f t="shared" si="38"/>
        <v>478.76566582727287</v>
      </c>
      <c r="H97" s="6">
        <f t="shared" si="38"/>
        <v>1023.7373565933009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166</v>
      </c>
      <c r="C99" s="6">
        <f t="shared" ref="C99:J99" si="39">C93/(((1+C16)*(1+C16+(C104-C16)*1/5)*(1+C16+(C104-C16)*2/5)*(1+C16+(C104-C16)*3/5)*(1+C16+(C104-C16)*4/5))*(1+C104)^1)</f>
        <v>348.82007687595654</v>
      </c>
      <c r="D99" s="6">
        <f t="shared" si="39"/>
        <v>495.99054985027681</v>
      </c>
      <c r="E99" s="6">
        <f t="shared" si="39"/>
        <v>459.58554504741926</v>
      </c>
      <c r="F99" s="6">
        <f t="shared" si="39"/>
        <v>237.45486846495879</v>
      </c>
      <c r="G99" s="6">
        <f t="shared" si="39"/>
        <v>287.71958918595817</v>
      </c>
      <c r="H99" s="6">
        <f t="shared" si="39"/>
        <v>615.22643058453912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167</v>
      </c>
      <c r="C100" s="6">
        <f t="shared" ref="C100:J100" si="40">C94/(((1+C16)*(1+C16+(C104-C16)*1/5)*(1+C16+(C104-C16)*2/5)*(1+C16+(C104-C16)*3/5)*(1+C16+(C104-C16)*4/5))*(1+C104)^2)</f>
        <v>333.53640916699038</v>
      </c>
      <c r="D100" s="6">
        <f t="shared" si="40"/>
        <v>471.48511704433361</v>
      </c>
      <c r="E100" s="6">
        <f t="shared" si="40"/>
        <v>436.87877634760832</v>
      </c>
      <c r="F100" s="6">
        <f t="shared" si="40"/>
        <v>226.16551647853726</v>
      </c>
      <c r="G100" s="6">
        <f t="shared" si="40"/>
        <v>273.50421136902509</v>
      </c>
      <c r="H100" s="6">
        <f t="shared" si="40"/>
        <v>584.82990395781053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168</v>
      </c>
      <c r="C101" s="6">
        <f t="shared" ref="C101:J101" si="41">C95/(((1+C16)*(1+C16+(C104-C16)*1/5)*(1+C16+(C104-C16)*2/5)*(1+C16+(C104-C16)*3/5)*(1+C16+(C104-C16)*4/5))*(1+C104)^3)</f>
        <v>318.3007193505706</v>
      </c>
      <c r="D101" s="6">
        <f t="shared" si="41"/>
        <v>448.19042552607806</v>
      </c>
      <c r="E101" s="6">
        <f t="shared" si="41"/>
        <v>415.29388223750732</v>
      </c>
      <c r="F101" s="6">
        <f t="shared" si="41"/>
        <v>215.6236716535544</v>
      </c>
      <c r="G101" s="6">
        <f t="shared" si="41"/>
        <v>259.99117351806336</v>
      </c>
      <c r="H101" s="6">
        <f t="shared" si="41"/>
        <v>555.93518022029059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169</v>
      </c>
      <c r="C102" s="6">
        <f t="shared" ref="C102:J102" si="42">C96/(((1+C16)*(1+C16+(C104-C16)*1/5)*(1+C16+(C104-C16)*2/5)*(1+C16+(C104-C16)*3/5)*(1+C16+(C104-C16)*4/5))*(1+C104)^4)</f>
        <v>303.16770109952546</v>
      </c>
      <c r="D102" s="6">
        <f t="shared" si="42"/>
        <v>426.04665613306884</v>
      </c>
      <c r="E102" s="6">
        <f t="shared" si="42"/>
        <v>394.77543419658684</v>
      </c>
      <c r="F102" s="6">
        <f t="shared" si="42"/>
        <v>205.77414612020749</v>
      </c>
      <c r="G102" s="6">
        <f t="shared" si="42"/>
        <v>247.14577508313658</v>
      </c>
      <c r="H102" s="6">
        <f t="shared" si="42"/>
        <v>528.46805971273113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170</v>
      </c>
      <c r="C103" s="6">
        <f t="shared" ref="C103:J103" si="43">C97/(((1+C16)*(1+C16+(C104-C16)*1/5)*(1+C16+(C104-C16)*2/5)*(1+C16+(C104-C16)*3/5)*(1+C16+(C104-C16)*4/5))*(1+C104)^5)</f>
        <v>288.18907755423959</v>
      </c>
      <c r="D103" s="6">
        <f t="shared" si="43"/>
        <v>404.99694519156543</v>
      </c>
      <c r="E103" s="6">
        <f t="shared" si="43"/>
        <v>375.27074226432762</v>
      </c>
      <c r="F103" s="6">
        <f t="shared" si="43"/>
        <v>196.56631144268582</v>
      </c>
      <c r="G103" s="6">
        <f t="shared" si="43"/>
        <v>234.93502996631779</v>
      </c>
      <c r="H103" s="6">
        <f t="shared" si="43"/>
        <v>502.35800876259361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171</v>
      </c>
      <c r="C104" s="11">
        <f>MAX((Inputs!B18+((1+(1-Inputs!B22)*(Inputs!B36/(1-Inputs!B36)))/(1+(1-Inputs!B22)*0.25))*Inputs!B19+IF(ISBLANK(C17),Inputs!B24,C17)+Inputs!B25+Inputs!B39)*(1-Inputs!B36)+Inputs!B38*Inputs!B36,C15)</f>
        <v>7.3014486689961938E-2</v>
      </c>
      <c r="D104" s="11">
        <f>MAX((Inputs!B18+((1+(1-Inputs!B22)*(Inputs!B36/(1-Inputs!B36)))/(1+(1-Inputs!B22)*0.25))*Inputs!B19+IF(ISBLANK(D17),Inputs!B24,D17)+Inputs!B25+Inputs!B39)*(1-Inputs!B36)+Inputs!B38*Inputs!B36,D15)</f>
        <v>7.3014486689961938E-2</v>
      </c>
      <c r="E104" s="11">
        <f>MAX((Inputs!B18+((1+(1-Inputs!B22)*(Inputs!B36/(1-Inputs!B36)))/(1+(1-Inputs!B22)*0.25))*Inputs!B19+IF(ISBLANK(E17),Inputs!B24,E17)+Inputs!B25+Inputs!B39)*(1-Inputs!B36)+Inputs!B38*Inputs!B36,E15)</f>
        <v>7.3014486689961938E-2</v>
      </c>
      <c r="F104" s="11">
        <f>MAX((Inputs!B18+((1+(1-Inputs!B22)*(Inputs!B36/(1-Inputs!B36)))/(1+(1-Inputs!B22)*0.25))*Inputs!B19+IF(ISBLANK(F17),Inputs!B24,F17)+Inputs!B25+Inputs!B39)*(1-Inputs!B36)+Inputs!B38*Inputs!B36,F15)</f>
        <v>7.3014486689961938E-2</v>
      </c>
      <c r="G104" s="11">
        <f>MAX((Inputs!B18+((1+(1-Inputs!B22)*(Inputs!B36/(1-Inputs!B36)))/(1+(1-Inputs!B22)*0.25))*Inputs!B19+IF(ISBLANK(G17),Inputs!B24,G17)+Inputs!B25+Inputs!B39)*(1-Inputs!B36)+Inputs!B38*Inputs!B36,G15)</f>
        <v>7.3014486689961938E-2</v>
      </c>
      <c r="H104" s="11">
        <f>MAX((Inputs!B18+((1+(1-Inputs!B22)*(Inputs!B36/(1-Inputs!B36)))/(1+(1-Inputs!B22)*0.25))*Inputs!B19+IF(ISBLANK(H17),Inputs!B24,H17)+Inputs!B25+Inputs!B39)*(1-Inputs!B36)+Inputs!B38*Inputs!B36,H15)</f>
        <v>7.3014486689961938E-2</v>
      </c>
      <c r="I104" s="11">
        <f>MAX((Inputs!B18+((1+(1-Inputs!B22)*(Inputs!B36/(1-Inputs!B36)))/(1+(1-Inputs!B22)*0.25))*Inputs!B19+IF(ISBLANK(I17),Inputs!B24,I17)+Inputs!B25+Inputs!B39)*(1-Inputs!B36)+Inputs!B38*Inputs!B36,I15)</f>
        <v>7.3014486689961938E-2</v>
      </c>
      <c r="J104" s="11">
        <f>MAX((Inputs!B18+((1+(1-Inputs!B22)*(Inputs!B36/(1-Inputs!B36)))/(1+(1-Inputs!B22)*0.25))*Inputs!B19+IF(ISBLANK(J17),Inputs!B24,J17)+Inputs!B25+Inputs!B39)*(1-Inputs!B36)+Inputs!B38*Inputs!B36,J15)</f>
        <v>7.3014486689961938E-2</v>
      </c>
    </row>
    <row r="105" spans="1:11" x14ac:dyDescent="0.4">
      <c r="A105" s="4" t="s">
        <v>172</v>
      </c>
      <c r="C105" s="6">
        <f t="shared" ref="C105:J105" si="44">SUM(C57:C61,C99:C103)</f>
        <v>3397.9216747838464</v>
      </c>
      <c r="D105" s="6">
        <f t="shared" si="44"/>
        <v>4419.7738585611478</v>
      </c>
      <c r="E105" s="6">
        <f t="shared" si="44"/>
        <v>4599.722515941954</v>
      </c>
      <c r="F105" s="6">
        <f t="shared" si="44"/>
        <v>1840.4276556256773</v>
      </c>
      <c r="G105" s="6">
        <f t="shared" si="44"/>
        <v>2543.3745579741376</v>
      </c>
      <c r="H105" s="6">
        <f t="shared" si="44"/>
        <v>7015.1735949789627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173</v>
      </c>
      <c r="C106" s="6">
        <f t="shared" ref="C106:J106" si="45">IF(C5=0,0,C97*(1+C13)/(C104-C13))</f>
        <v>11299.477163712114</v>
      </c>
      <c r="D106" s="6">
        <f t="shared" si="45"/>
        <v>15958.283880284052</v>
      </c>
      <c r="E106" s="6">
        <f t="shared" si="45"/>
        <v>14713.823363506872</v>
      </c>
      <c r="F106" s="6">
        <f t="shared" si="45"/>
        <v>8551.3736682147846</v>
      </c>
      <c r="G106" s="6">
        <f t="shared" si="45"/>
        <v>9211.462934645062</v>
      </c>
      <c r="H106" s="6">
        <f t="shared" si="45"/>
        <v>19696.73138272381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174</v>
      </c>
      <c r="C107" s="6">
        <f t="shared" ref="C107:J107" si="46">C106/(((1+C16)*(1+C16+(C104-C16)*1/5)*(1+C16+(C104-C16)*2/5)*(1+C16+(C104-C16)*3/5)*(1+C16+(C104-C16)*4/5))*(1+C104)^5)</f>
        <v>5544.7647889983828</v>
      </c>
      <c r="D107" s="6">
        <f t="shared" si="46"/>
        <v>7792.1509739641579</v>
      </c>
      <c r="E107" s="6">
        <f t="shared" si="46"/>
        <v>7220.2181141195733</v>
      </c>
      <c r="F107" s="6">
        <f t="shared" si="46"/>
        <v>4196.2433240148557</v>
      </c>
      <c r="G107" s="6">
        <f t="shared" si="46"/>
        <v>4520.1556315552853</v>
      </c>
      <c r="H107" s="6">
        <f t="shared" si="46"/>
        <v>9665.3801806000938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175</v>
      </c>
      <c r="C109" s="20">
        <f t="shared" ref="C109:J109" si="47">C105+C107</f>
        <v>8942.6864637822291</v>
      </c>
      <c r="D109" s="20">
        <f t="shared" si="47"/>
        <v>12211.924832525307</v>
      </c>
      <c r="E109" s="20">
        <f t="shared" si="47"/>
        <v>11819.940630061526</v>
      </c>
      <c r="F109" s="20">
        <f t="shared" si="47"/>
        <v>6036.670979640533</v>
      </c>
      <c r="G109" s="20">
        <f t="shared" si="47"/>
        <v>7063.5301895294233</v>
      </c>
      <c r="H109" s="20">
        <f t="shared" si="47"/>
        <v>16680.553775579057</v>
      </c>
      <c r="I109" s="20">
        <f t="shared" si="47"/>
        <v>0</v>
      </c>
      <c r="J109" s="20">
        <f t="shared" si="47"/>
        <v>0</v>
      </c>
      <c r="K109" s="20">
        <f>SUM(C109:J109)</f>
        <v>62755.306871118082</v>
      </c>
    </row>
    <row r="110" spans="1:11" x14ac:dyDescent="0.4">
      <c r="A110" s="4" t="s">
        <v>176</v>
      </c>
      <c r="K110" s="11">
        <f>IFERROR(SUMPRODUCT(C109:J109,C16:J16)/SUM(C109:J109),0)</f>
        <v>7.5931716904362387E-2</v>
      </c>
    </row>
    <row r="111" spans="1:11" x14ac:dyDescent="0.4">
      <c r="A111" s="4" t="s">
        <v>177</v>
      </c>
      <c r="K111" s="5">
        <v>12500</v>
      </c>
    </row>
    <row r="112" spans="1:11" x14ac:dyDescent="0.4">
      <c r="A112" s="4" t="s">
        <v>178</v>
      </c>
      <c r="K112" s="5">
        <v>800</v>
      </c>
    </row>
    <row r="113" spans="1:11" x14ac:dyDescent="0.4">
      <c r="A113" s="4" t="s">
        <v>179</v>
      </c>
      <c r="K113" s="5">
        <v>-5719.9383623270069</v>
      </c>
    </row>
    <row r="114" spans="1:11" x14ac:dyDescent="0.4">
      <c r="A114" s="4" t="s">
        <v>180</v>
      </c>
      <c r="K114" s="5">
        <v>0</v>
      </c>
    </row>
    <row r="115" spans="1:11" x14ac:dyDescent="0.4">
      <c r="A115" s="4" t="s">
        <v>181</v>
      </c>
      <c r="K115" s="5">
        <v>0</v>
      </c>
    </row>
    <row r="116" spans="1:11" x14ac:dyDescent="0.4">
      <c r="A116" s="4" t="s">
        <v>182</v>
      </c>
      <c r="K116" s="5">
        <v>1350</v>
      </c>
    </row>
    <row r="117" spans="1:11" x14ac:dyDescent="0.4">
      <c r="A117" s="4" t="s">
        <v>183</v>
      </c>
      <c r="K117" s="5">
        <v>0</v>
      </c>
    </row>
    <row r="118" spans="1:11" x14ac:dyDescent="0.4">
      <c r="A118" s="4" t="s">
        <v>184</v>
      </c>
      <c r="K118" s="5">
        <v>0</v>
      </c>
    </row>
    <row r="119" spans="1:11" x14ac:dyDescent="0.4">
      <c r="A119" s="4" t="s">
        <v>185</v>
      </c>
      <c r="K119" s="20">
        <f>K109+K113+K114+K115+K116+K117+K118-K111-K112</f>
        <v>45085.368508791078</v>
      </c>
    </row>
    <row r="120" spans="1:11" x14ac:dyDescent="0.4">
      <c r="A120" s="4" t="s">
        <v>186</v>
      </c>
      <c r="K120" s="6">
        <f>Inputs!B11</f>
        <v>890</v>
      </c>
    </row>
    <row r="122" spans="1:11" ht="15.9" customHeight="1" x14ac:dyDescent="0.45">
      <c r="A122" s="4" t="s">
        <v>187</v>
      </c>
      <c r="K122" s="21">
        <f>K119/K120</f>
        <v>50.657717425607956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188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 t="s">
        <v>59</v>
      </c>
      <c r="H4" s="14" t="s">
        <v>60</v>
      </c>
      <c r="I4" s="14"/>
      <c r="J4" s="14"/>
    </row>
    <row r="5" spans="1:11" x14ac:dyDescent="0.4">
      <c r="A5" s="4" t="s">
        <v>65</v>
      </c>
      <c r="C5" s="5">
        <v>10055</v>
      </c>
      <c r="D5" s="5">
        <v>12742</v>
      </c>
      <c r="E5" s="5">
        <v>8594</v>
      </c>
      <c r="F5" s="5">
        <v>6509</v>
      </c>
      <c r="G5" s="5">
        <v>8967</v>
      </c>
      <c r="H5" s="5">
        <v>9587</v>
      </c>
      <c r="I5" s="5"/>
      <c r="J5" s="5"/>
    </row>
    <row r="6" spans="1:11" x14ac:dyDescent="0.4">
      <c r="A6" s="4" t="s">
        <v>66</v>
      </c>
      <c r="C6" s="7">
        <v>4.1736005338721023E-2</v>
      </c>
      <c r="D6" s="7">
        <v>3.1736005338721007E-2</v>
      </c>
      <c r="E6" s="7">
        <v>3.1736005338721007E-2</v>
      </c>
      <c r="F6" s="7">
        <v>3.1736005338721007E-2</v>
      </c>
      <c r="G6" s="7">
        <v>3.1736005338721007E-2</v>
      </c>
      <c r="H6" s="7">
        <v>3.5000000000000003E-2</v>
      </c>
      <c r="I6" s="7"/>
      <c r="J6" s="7"/>
    </row>
    <row r="7" spans="1:11" x14ac:dyDescent="0.4">
      <c r="A7" s="4" t="s">
        <v>67</v>
      </c>
      <c r="C7" s="7">
        <v>1.9472010677442031E-2</v>
      </c>
      <c r="D7" s="7">
        <v>6.8472010677442033E-2</v>
      </c>
      <c r="E7" s="7">
        <v>0.111472010677442</v>
      </c>
      <c r="F7" s="7">
        <v>5.3472010677442033E-2</v>
      </c>
      <c r="G7" s="7">
        <v>5.3472010677442033E-2</v>
      </c>
      <c r="H7" s="7">
        <v>0.18347201067744201</v>
      </c>
      <c r="I7" s="7"/>
      <c r="J7" s="7"/>
    </row>
    <row r="8" spans="1:11" x14ac:dyDescent="0.4">
      <c r="A8" s="4" t="s">
        <v>68</v>
      </c>
      <c r="C8" s="15">
        <v>-3.6999999999999998E-2</v>
      </c>
      <c r="D8" s="15">
        <v>0.05</v>
      </c>
      <c r="E8" s="15">
        <v>8.2000000000000003E-2</v>
      </c>
      <c r="F8" s="15">
        <v>1.2E-2</v>
      </c>
      <c r="G8" s="15">
        <v>0.127</v>
      </c>
      <c r="H8" s="15">
        <v>0.14000000000000001</v>
      </c>
      <c r="I8" s="15"/>
      <c r="J8" s="15"/>
    </row>
    <row r="9" spans="1:11" x14ac:dyDescent="0.4">
      <c r="A9" s="4" t="s">
        <v>69</v>
      </c>
      <c r="C9" s="7">
        <v>9.5000000000000001E-2</v>
      </c>
      <c r="D9" s="7">
        <v>0.1</v>
      </c>
      <c r="E9" s="7">
        <v>0.123472010677442</v>
      </c>
      <c r="F9" s="7">
        <v>9.8472010677442032E-2</v>
      </c>
      <c r="G9" s="7">
        <v>8.3472010677442032E-2</v>
      </c>
      <c r="H9" s="7">
        <v>0.143472010677442</v>
      </c>
      <c r="I9" s="7"/>
      <c r="J9" s="7"/>
    </row>
    <row r="10" spans="1:11" x14ac:dyDescent="0.4">
      <c r="A10" s="4" t="s">
        <v>70</v>
      </c>
      <c r="C10" s="7">
        <v>0.21</v>
      </c>
      <c r="D10" s="7">
        <v>7.3999999999999996E-2</v>
      </c>
      <c r="E10" s="7">
        <v>4.5999999999999999E-2</v>
      </c>
      <c r="F10" s="7">
        <v>0.10199999999999999</v>
      </c>
      <c r="G10" s="7">
        <v>1.2999999999999999E-2</v>
      </c>
      <c r="H10" s="7">
        <v>3.6999999999999998E-2</v>
      </c>
      <c r="I10" s="7"/>
      <c r="J10" s="7"/>
    </row>
    <row r="11" spans="1:11" x14ac:dyDescent="0.4">
      <c r="A11" s="4" t="s">
        <v>71</v>
      </c>
      <c r="C11" s="7">
        <v>0.111</v>
      </c>
      <c r="D11" s="7">
        <v>6.8000000000000005E-2</v>
      </c>
      <c r="E11" s="7">
        <v>5.1999999999999998E-2</v>
      </c>
      <c r="F11" s="7">
        <v>8.5000000000000006E-2</v>
      </c>
      <c r="G11" s="7">
        <v>2.8000000000000001E-2</v>
      </c>
      <c r="H11" s="7">
        <v>6.0999999999999999E-2</v>
      </c>
      <c r="I11" s="7"/>
      <c r="J11" s="7"/>
    </row>
    <row r="12" spans="1:11" x14ac:dyDescent="0.4">
      <c r="A12" s="4" t="s">
        <v>72</v>
      </c>
      <c r="C12" s="7">
        <v>-0.04</v>
      </c>
      <c r="D12" s="7">
        <v>5.0000000000000001E-3</v>
      </c>
      <c r="E12" s="7">
        <v>0</v>
      </c>
      <c r="F12" s="7">
        <v>1.4999999999999999E-2</v>
      </c>
      <c r="G12" s="7">
        <v>0</v>
      </c>
      <c r="H12" s="7">
        <v>0</v>
      </c>
      <c r="I12" s="7"/>
      <c r="J12" s="7"/>
    </row>
    <row r="13" spans="1:11" x14ac:dyDescent="0.4">
      <c r="A13" s="4" t="s">
        <v>73</v>
      </c>
      <c r="C13" s="7">
        <v>2.3912001779573672E-2</v>
      </c>
      <c r="D13" s="7">
        <v>2.3912001779573672E-2</v>
      </c>
      <c r="E13" s="7">
        <v>2.3912001779573672E-2</v>
      </c>
      <c r="F13" s="7">
        <v>2.8912001779573669E-2</v>
      </c>
      <c r="G13" s="7">
        <v>2.3912001779573672E-2</v>
      </c>
      <c r="H13" s="7">
        <v>2.3912001779573672E-2</v>
      </c>
      <c r="I13" s="7"/>
      <c r="J13" s="7"/>
    </row>
    <row r="14" spans="1:11" x14ac:dyDescent="0.4">
      <c r="A14" s="4" t="s">
        <v>74</v>
      </c>
      <c r="C14" s="9">
        <v>0.95399999999999996</v>
      </c>
      <c r="D14" s="9">
        <v>1.004210526315789</v>
      </c>
      <c r="E14" s="9">
        <v>0.95399999999999996</v>
      </c>
      <c r="F14" s="9">
        <v>0.95399999999999996</v>
      </c>
      <c r="G14" s="9">
        <v>0.95399999999999996</v>
      </c>
      <c r="H14" s="9">
        <v>0.95399999999999996</v>
      </c>
      <c r="I14" s="9"/>
      <c r="J14" s="9"/>
    </row>
    <row r="15" spans="1:11" x14ac:dyDescent="0.4">
      <c r="A15" s="4" t="s">
        <v>75</v>
      </c>
      <c r="C15" s="7">
        <v>7.2300000000000003E-2</v>
      </c>
      <c r="D15" s="7">
        <v>7.0099999999999996E-2</v>
      </c>
      <c r="E15" s="7">
        <v>7.2300000000000003E-2</v>
      </c>
      <c r="F15" s="7">
        <v>7.2300000000000003E-2</v>
      </c>
      <c r="G15" s="7">
        <v>7.2300000000000003E-2</v>
      </c>
      <c r="H15" s="7">
        <v>7.2300000000000003E-2</v>
      </c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7.5585757106851836E-2</v>
      </c>
      <c r="D16" s="11">
        <f>MAX((MAX(Inputs!B18+((1-0.33)*D14*(1+(1-Inputs!B22)*Inputs!B21)+0.33)*Inputs!B19+IF(ISBLANK(D17),Inputs!B24,D17)+Inputs!B25+Inputs!B39,MIN(Inputs!B27,0.08)+0.025))*Inputs!B29+Inputs!B28*Inputs!B30,D15)</f>
        <v>7.7363594225536042E-2</v>
      </c>
      <c r="E16" s="11">
        <f>MAX((MAX(Inputs!B18+((1-0.33)*E14*(1+(1-Inputs!B22)*Inputs!B21)+0.33)*Inputs!B19+IF(ISBLANK(E17),Inputs!B24,E17)+Inputs!B25+Inputs!B39,MIN(Inputs!B27,0.08)+0.025))*Inputs!B29+Inputs!B28*Inputs!B30,E15)</f>
        <v>7.5585757106851836E-2</v>
      </c>
      <c r="F16" s="11">
        <f>MAX((MAX(Inputs!B18+((1-0.33)*F14*(1+(1-Inputs!B22)*Inputs!B21)+0.33)*Inputs!B19+IF(ISBLANK(F17),Inputs!B24,F17)+Inputs!B25+Inputs!B39,MIN(Inputs!B27,0.08)+0.025))*Inputs!B29+Inputs!B28*Inputs!B30,F15)</f>
        <v>7.5585757106851836E-2</v>
      </c>
      <c r="G16" s="11">
        <f>MAX((MAX(Inputs!B18+((1-0.33)*G14*(1+(1-Inputs!B22)*Inputs!B21)+0.33)*Inputs!B19+IF(ISBLANK(G17),Inputs!B24,G17)+Inputs!B25+Inputs!B39,MIN(Inputs!B27,0.08)+0.025))*Inputs!B29+Inputs!B28*Inputs!B30,G15)</f>
        <v>7.5585757106851836E-2</v>
      </c>
      <c r="H16" s="11">
        <f>MAX((MAX(Inputs!B18+((1-0.33)*H14*(1+(1-Inputs!B22)*Inputs!B21)+0.33)*Inputs!B19+IF(ISBLANK(H17),Inputs!B24,H17)+Inputs!B25+Inputs!B39,MIN(Inputs!B27,0.08)+0.025))*Inputs!B29+Inputs!B28*Inputs!B30,H15)</f>
        <v>7.5585757106851836E-2</v>
      </c>
      <c r="I16" s="11">
        <f>MAX((MAX(Inputs!B18+((1-0.33)*I14*(1+(1-Inputs!B22)*Inputs!B21)+0.33)*Inputs!B19+IF(ISBLANK(I17),Inputs!B24,I17)+Inputs!B25+Inputs!B39,MIN(Inputs!B27,0.08)+0.025))*Inputs!B29+Inputs!B28*Inputs!B30,I15)</f>
        <v>5.013851851851852E-2</v>
      </c>
      <c r="J16" s="11">
        <f>MAX((MAX(Inputs!B18+((1-0.33)*J14*(1+(1-Inputs!B22)*Inputs!B21)+0.33)*Inputs!B19+IF(ISBLANK(J17),Inputs!B24,J17)+Inputs!B25+Inputs!B39,MIN(Inputs!B27,0.08)+0.025))*Inputs!B29+Inputs!B28*Inputs!B30,J15)</f>
        <v>5.013851851851852E-2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 t="s">
        <v>83</v>
      </c>
      <c r="H18" s="18" t="s">
        <v>84</v>
      </c>
      <c r="I18" s="18"/>
      <c r="J18" s="18"/>
    </row>
    <row r="19" spans="1:10" ht="40" customHeight="1" x14ac:dyDescent="0.4">
      <c r="A19" s="17" t="s">
        <v>85</v>
      </c>
      <c r="C19" s="18" t="s">
        <v>86</v>
      </c>
      <c r="D19" s="18" t="s">
        <v>87</v>
      </c>
      <c r="E19" s="18" t="s">
        <v>88</v>
      </c>
      <c r="F19" s="18" t="s">
        <v>89</v>
      </c>
      <c r="G19" s="18" t="s">
        <v>90</v>
      </c>
      <c r="H19" s="18" t="s">
        <v>91</v>
      </c>
      <c r="I19" s="18"/>
      <c r="J19" s="18"/>
    </row>
    <row r="20" spans="1:10" ht="28" customHeight="1" x14ac:dyDescent="0.4">
      <c r="A20" s="17" t="s">
        <v>92</v>
      </c>
      <c r="C20" s="18" t="s">
        <v>93</v>
      </c>
      <c r="D20" s="18" t="s">
        <v>94</v>
      </c>
      <c r="E20" s="18" t="s">
        <v>95</v>
      </c>
      <c r="F20" s="18" t="s">
        <v>96</v>
      </c>
      <c r="G20" s="18" t="s">
        <v>97</v>
      </c>
      <c r="H20" s="18" t="s">
        <v>98</v>
      </c>
      <c r="I20" s="18"/>
      <c r="J20" s="18"/>
    </row>
    <row r="21" spans="1:10" x14ac:dyDescent="0.4">
      <c r="A21" s="4" t="s">
        <v>99</v>
      </c>
      <c r="C21" s="6">
        <f t="shared" ref="C21:J21" si="0">C5*(1+C6)^1</f>
        <v>10474.65553368084</v>
      </c>
      <c r="D21" s="6">
        <f t="shared" si="0"/>
        <v>13146.380180025983</v>
      </c>
      <c r="E21" s="6">
        <f t="shared" si="0"/>
        <v>8866.7392298809682</v>
      </c>
      <c r="F21" s="6">
        <f t="shared" si="0"/>
        <v>6715.569658749735</v>
      </c>
      <c r="G21" s="6">
        <f t="shared" si="0"/>
        <v>9251.5767598723105</v>
      </c>
      <c r="H21" s="6">
        <f t="shared" si="0"/>
        <v>9922.5450000000001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100</v>
      </c>
      <c r="C22" s="6">
        <f t="shared" ref="C22:J22" si="1">C5*(1+C6)^2</f>
        <v>10911.825812955807</v>
      </c>
      <c r="D22" s="6">
        <f t="shared" si="1"/>
        <v>13563.593771604144</v>
      </c>
      <c r="E22" s="6">
        <f t="shared" si="1"/>
        <v>9148.1341134175182</v>
      </c>
      <c r="F22" s="6">
        <f t="shared" si="1"/>
        <v>6928.6950132923703</v>
      </c>
      <c r="G22" s="6">
        <f t="shared" si="1"/>
        <v>9545.1848493152065</v>
      </c>
      <c r="H22" s="6">
        <f t="shared" si="1"/>
        <v>10269.834074999999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101</v>
      </c>
      <c r="C23" s="6">
        <f t="shared" ref="C23:J23" si="2">C5*(1+C6)^3</f>
        <v>11367.241833340526</v>
      </c>
      <c r="D23" s="6">
        <f t="shared" si="2"/>
        <v>13994.048055952018</v>
      </c>
      <c r="E23" s="6">
        <f t="shared" si="2"/>
        <v>9438.4593464802729</v>
      </c>
      <c r="F23" s="6">
        <f t="shared" si="2"/>
        <v>7148.5841152245866</v>
      </c>
      <c r="G23" s="6">
        <f t="shared" si="2"/>
        <v>9848.1108866521536</v>
      </c>
      <c r="H23" s="6">
        <f t="shared" si="2"/>
        <v>10629.278267624997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102</v>
      </c>
      <c r="C24" s="6">
        <f t="shared" ref="C24:J24" si="3">C5*(1+C6)^4</f>
        <v>11841.665099183359</v>
      </c>
      <c r="D24" s="6">
        <f t="shared" si="3"/>
        <v>14438.163239766031</v>
      </c>
      <c r="E24" s="6">
        <f t="shared" si="3"/>
        <v>9737.9983426894723</v>
      </c>
      <c r="F24" s="6">
        <f t="shared" si="3"/>
        <v>7375.4516188696507</v>
      </c>
      <c r="G24" s="6">
        <f t="shared" si="3"/>
        <v>10160.650586327263</v>
      </c>
      <c r="H24" s="6">
        <f t="shared" si="3"/>
        <v>11001.303006991871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103</v>
      </c>
      <c r="C25" s="6">
        <f t="shared" ref="C25:J25" si="4">C5*(1+C6)^5</f>
        <v>12335.888896982222</v>
      </c>
      <c r="D25" s="6">
        <f t="shared" si="4"/>
        <v>14896.372865424572</v>
      </c>
      <c r="E25" s="6">
        <f t="shared" si="4"/>
        <v>10047.043510081523</v>
      </c>
      <c r="F25" s="6">
        <f t="shared" si="4"/>
        <v>7609.5189908215771</v>
      </c>
      <c r="G25" s="6">
        <f t="shared" si="4"/>
        <v>10483.109047579825</v>
      </c>
      <c r="H25" s="6">
        <f t="shared" si="4"/>
        <v>11386.348612236587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104</v>
      </c>
      <c r="C26" s="7">
        <v>0.01</v>
      </c>
      <c r="D26" s="7"/>
      <c r="E26" s="7"/>
      <c r="F26" s="7">
        <v>5.0000000000000001E-3</v>
      </c>
      <c r="G26" s="7"/>
      <c r="H26" s="7"/>
      <c r="I26" s="7"/>
      <c r="J26" s="7"/>
    </row>
    <row r="27" spans="1:10" x14ac:dyDescent="0.4">
      <c r="A27" s="4" t="s">
        <v>105</v>
      </c>
      <c r="C27" s="11">
        <f t="shared" ref="C27:J27" si="5">IF(ISBLANK(C9),C7,C7+(C9-C7)*(0)/4)</f>
        <v>1.9472010677442031E-2</v>
      </c>
      <c r="D27" s="11">
        <f t="shared" si="5"/>
        <v>6.8472010677442033E-2</v>
      </c>
      <c r="E27" s="11">
        <f t="shared" si="5"/>
        <v>0.111472010677442</v>
      </c>
      <c r="F27" s="11">
        <f t="shared" si="5"/>
        <v>5.3472010677442033E-2</v>
      </c>
      <c r="G27" s="11">
        <f t="shared" si="5"/>
        <v>5.3472010677442033E-2</v>
      </c>
      <c r="H27" s="11">
        <f t="shared" si="5"/>
        <v>0.18347201067744201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106</v>
      </c>
      <c r="C28" s="11">
        <f t="shared" ref="C28:J28" si="6">IF(ISBLANK(C9),C7,C7+(C9-C7)*(1)/4)</f>
        <v>3.8354008008081523E-2</v>
      </c>
      <c r="D28" s="11">
        <f t="shared" si="6"/>
        <v>7.6354008008081523E-2</v>
      </c>
      <c r="E28" s="11">
        <f t="shared" si="6"/>
        <v>0.114472010677442</v>
      </c>
      <c r="F28" s="11">
        <f t="shared" si="6"/>
        <v>6.472201067744203E-2</v>
      </c>
      <c r="G28" s="11">
        <f t="shared" si="6"/>
        <v>6.0972010677442033E-2</v>
      </c>
      <c r="H28" s="11">
        <f t="shared" si="6"/>
        <v>0.173472010677442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107</v>
      </c>
      <c r="C29" s="11">
        <f t="shared" ref="C29:J29" si="7">IF(ISBLANK(C9),C7,C7+(C9-C7)*(2)/4)</f>
        <v>5.7236005338721016E-2</v>
      </c>
      <c r="D29" s="11">
        <f t="shared" si="7"/>
        <v>8.4236005338721026E-2</v>
      </c>
      <c r="E29" s="11">
        <f t="shared" si="7"/>
        <v>0.11747201067744201</v>
      </c>
      <c r="F29" s="11">
        <f t="shared" si="7"/>
        <v>7.5972010677442026E-2</v>
      </c>
      <c r="G29" s="11">
        <f t="shared" si="7"/>
        <v>6.8472010677442033E-2</v>
      </c>
      <c r="H29" s="11">
        <f t="shared" si="7"/>
        <v>0.16347201067744199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108</v>
      </c>
      <c r="C30" s="11">
        <f t="shared" ref="C30:J30" si="8">IF(ISBLANK(C9),C7,C7+(C9-C7)*(3)/4)</f>
        <v>7.6118002669360502E-2</v>
      </c>
      <c r="D30" s="11">
        <f t="shared" si="8"/>
        <v>9.2118002669360516E-2</v>
      </c>
      <c r="E30" s="11">
        <f t="shared" si="8"/>
        <v>0.120472010677442</v>
      </c>
      <c r="F30" s="11">
        <f t="shared" si="8"/>
        <v>8.7222010677442036E-2</v>
      </c>
      <c r="G30" s="11">
        <f t="shared" si="8"/>
        <v>7.5972010677442026E-2</v>
      </c>
      <c r="H30" s="11">
        <f t="shared" si="8"/>
        <v>0.15347201067744201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109</v>
      </c>
      <c r="C31" s="11">
        <f t="shared" ref="C31:J31" si="9">IF(ISBLANK(C9),C7,C7+(C9-C7)*(4)/4)</f>
        <v>9.5000000000000001E-2</v>
      </c>
      <c r="D31" s="11">
        <f t="shared" si="9"/>
        <v>0.1</v>
      </c>
      <c r="E31" s="11">
        <f t="shared" si="9"/>
        <v>0.123472010677442</v>
      </c>
      <c r="F31" s="11">
        <f t="shared" si="9"/>
        <v>9.8472010677442032E-2</v>
      </c>
      <c r="G31" s="11">
        <f t="shared" si="9"/>
        <v>8.3472010677442032E-2</v>
      </c>
      <c r="H31" s="11">
        <f t="shared" si="9"/>
        <v>0.143472010677442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110</v>
      </c>
      <c r="C33" s="6">
        <f t="shared" ref="C33:J37" si="10">C21*C27</f>
        <v>203.96260439436057</v>
      </c>
      <c r="D33" s="6">
        <f t="shared" si="10"/>
        <v>900.15908405645143</v>
      </c>
      <c r="E33" s="6">
        <f t="shared" si="10"/>
        <v>988.39325010738514</v>
      </c>
      <c r="F33" s="6">
        <f t="shared" si="10"/>
        <v>359.09501249777156</v>
      </c>
      <c r="G33" s="6">
        <f t="shared" si="10"/>
        <v>494.70041128706674</v>
      </c>
      <c r="H33" s="6">
        <f t="shared" si="10"/>
        <v>1820.5092821873989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111</v>
      </c>
      <c r="C34" s="6">
        <f t="shared" si="10"/>
        <v>418.51225461289772</v>
      </c>
      <c r="D34" s="6">
        <f t="shared" si="10"/>
        <v>1035.6347474554275</v>
      </c>
      <c r="E34" s="6">
        <f t="shared" si="10"/>
        <v>1047.2053059098016</v>
      </c>
      <c r="F34" s="6">
        <f t="shared" si="10"/>
        <v>448.43907263104813</v>
      </c>
      <c r="G34" s="6">
        <f t="shared" si="10"/>
        <v>581.98911255060466</v>
      </c>
      <c r="H34" s="6">
        <f t="shared" si="10"/>
        <v>1781.5287663139575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112</v>
      </c>
      <c r="C35" s="6">
        <f t="shared" si="10"/>
        <v>650.61551425961125</v>
      </c>
      <c r="D35" s="6">
        <f t="shared" si="10"/>
        <v>1178.8027067514929</v>
      </c>
      <c r="E35" s="6">
        <f t="shared" si="10"/>
        <v>1108.7547971283329</v>
      </c>
      <c r="F35" s="6">
        <f t="shared" si="10"/>
        <v>543.09230873043475</v>
      </c>
      <c r="G35" s="6">
        <f t="shared" si="10"/>
        <v>674.31995378347938</v>
      </c>
      <c r="H35" s="6">
        <f t="shared" si="10"/>
        <v>1737.5894904586958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113</v>
      </c>
      <c r="C36" s="6">
        <f t="shared" si="10"/>
        <v>901.36389562931208</v>
      </c>
      <c r="D36" s="6">
        <f t="shared" si="10"/>
        <v>1330.0147598614301</v>
      </c>
      <c r="E36" s="6">
        <f t="shared" si="10"/>
        <v>1173.1562403173987</v>
      </c>
      <c r="F36" s="6">
        <f t="shared" si="10"/>
        <v>643.30171985200582</v>
      </c>
      <c r="G36" s="6">
        <f t="shared" si="10"/>
        <v>771.92505483421246</v>
      </c>
      <c r="H36" s="6">
        <f t="shared" si="10"/>
        <v>1688.3920925548314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114</v>
      </c>
      <c r="C37" s="6">
        <f t="shared" si="10"/>
        <v>1171.9094452133111</v>
      </c>
      <c r="D37" s="6">
        <f t="shared" si="10"/>
        <v>1489.6372865424573</v>
      </c>
      <c r="E37" s="6">
        <f t="shared" si="10"/>
        <v>1240.5286635535101</v>
      </c>
      <c r="F37" s="6">
        <f t="shared" si="10"/>
        <v>749.3246353143802</v>
      </c>
      <c r="G37" s="6">
        <f t="shared" si="10"/>
        <v>875.04619035237226</v>
      </c>
      <c r="H37" s="6">
        <f t="shared" si="10"/>
        <v>1633.6223296718845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115</v>
      </c>
      <c r="C39" s="6">
        <f>C33*(1-Inputs!B22)</f>
        <v>148.89270120788322</v>
      </c>
      <c r="D39" s="6">
        <f>D33*(1-Inputs!B22)</f>
        <v>657.11613136120957</v>
      </c>
      <c r="E39" s="6">
        <f>E33*(1-Inputs!B22)</f>
        <v>721.52707257839108</v>
      </c>
      <c r="F39" s="6">
        <f>F33*(1-Inputs!B22)</f>
        <v>262.13935912337325</v>
      </c>
      <c r="G39" s="6">
        <f>G33*(1-Inputs!B22)</f>
        <v>361.1313002395587</v>
      </c>
      <c r="H39" s="6">
        <f>H33*(1-Inputs!B22)</f>
        <v>1328.9717759968012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116</v>
      </c>
      <c r="C40" s="6">
        <f>C34*(1-Inputs!B22)</f>
        <v>305.51394586741532</v>
      </c>
      <c r="D40" s="6">
        <f>D34*(1-Inputs!B22)</f>
        <v>756.01336564246208</v>
      </c>
      <c r="E40" s="6">
        <f>E34*(1-Inputs!B22)</f>
        <v>764.45987331415517</v>
      </c>
      <c r="F40" s="6">
        <f>F34*(1-Inputs!B22)</f>
        <v>327.36052302066514</v>
      </c>
      <c r="G40" s="6">
        <f>G34*(1-Inputs!B22)</f>
        <v>424.8520521619414</v>
      </c>
      <c r="H40" s="6">
        <f>H34*(1-Inputs!B22)</f>
        <v>1300.5159994091889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117</v>
      </c>
      <c r="C41" s="6">
        <f>C35*(1-Inputs!B22)</f>
        <v>474.94932540951618</v>
      </c>
      <c r="D41" s="6">
        <f>D35*(1-Inputs!B22)</f>
        <v>860.52597592858979</v>
      </c>
      <c r="E41" s="6">
        <f>E35*(1-Inputs!B22)</f>
        <v>809.39100190368299</v>
      </c>
      <c r="F41" s="6">
        <f>F35*(1-Inputs!B22)</f>
        <v>396.45738537321733</v>
      </c>
      <c r="G41" s="6">
        <f>G35*(1-Inputs!B22)</f>
        <v>492.25356626193991</v>
      </c>
      <c r="H41" s="6">
        <f>H35*(1-Inputs!B22)</f>
        <v>1268.4403280348479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118</v>
      </c>
      <c r="C42" s="6">
        <f>C36*(1-Inputs!B22)</f>
        <v>657.99564380939785</v>
      </c>
      <c r="D42" s="6">
        <f>D36*(1-Inputs!B22)</f>
        <v>970.91077469884397</v>
      </c>
      <c r="E42" s="6">
        <f>E36*(1-Inputs!B22)</f>
        <v>856.40405543170095</v>
      </c>
      <c r="F42" s="6">
        <f>F36*(1-Inputs!B22)</f>
        <v>469.61025549196421</v>
      </c>
      <c r="G42" s="6">
        <f>G36*(1-Inputs!B22)</f>
        <v>563.50529002897508</v>
      </c>
      <c r="H42" s="6">
        <f>H36*(1-Inputs!B22)</f>
        <v>1232.5262275650268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119</v>
      </c>
      <c r="C43" s="6">
        <f>C37*(1-Inputs!B22)</f>
        <v>855.49389500571704</v>
      </c>
      <c r="D43" s="6">
        <f>D37*(1-Inputs!B22)</f>
        <v>1087.4352191759938</v>
      </c>
      <c r="E43" s="6">
        <f>E37*(1-Inputs!B22)</f>
        <v>905.58592439406232</v>
      </c>
      <c r="F43" s="6">
        <f>F37*(1-Inputs!B22)</f>
        <v>547.00698377949755</v>
      </c>
      <c r="G43" s="6">
        <f>G37*(1-Inputs!B22)</f>
        <v>638.78371895723171</v>
      </c>
      <c r="H43" s="6">
        <f>H37*(1-Inputs!B22)</f>
        <v>1192.5443006604755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120</v>
      </c>
      <c r="C45" s="6">
        <f t="shared" ref="C45:J45" si="11">C21*IF(ISBLANK(C26),C12,C12+(C26-C12)*(0)/4)</f>
        <v>-418.9862213472336</v>
      </c>
      <c r="D45" s="6">
        <f t="shared" si="11"/>
        <v>65.731900900129915</v>
      </c>
      <c r="E45" s="6">
        <f t="shared" si="11"/>
        <v>0</v>
      </c>
      <c r="F45" s="6">
        <f t="shared" si="11"/>
        <v>100.73354488124602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121</v>
      </c>
      <c r="C46" s="6">
        <f t="shared" ref="C46:J46" si="12">C22*IF(ISBLANK(C26),C12,C12+(C26-C12)*(1)/4)</f>
        <v>-300.07520985628469</v>
      </c>
      <c r="D46" s="6">
        <f t="shared" si="12"/>
        <v>67.81796885802072</v>
      </c>
      <c r="E46" s="6">
        <f t="shared" si="12"/>
        <v>0</v>
      </c>
      <c r="F46" s="6">
        <f t="shared" si="12"/>
        <v>86.608687666154637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122</v>
      </c>
      <c r="C47" s="6">
        <f t="shared" ref="C47:J47" si="13">C23*IF(ISBLANK(C26),C12,C12+(C26-C12)*(2)/4)</f>
        <v>-170.50862750010788</v>
      </c>
      <c r="D47" s="6">
        <f t="shared" si="13"/>
        <v>69.970240279760091</v>
      </c>
      <c r="E47" s="6">
        <f t="shared" si="13"/>
        <v>0</v>
      </c>
      <c r="F47" s="6">
        <f t="shared" si="13"/>
        <v>71.485841152245868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123</v>
      </c>
      <c r="C48" s="6">
        <f t="shared" ref="C48:J48" si="14">C24*IF(ISBLANK(C26),C12,C12+(C26-C12)*(3)/4)</f>
        <v>-29.604162747958341</v>
      </c>
      <c r="D48" s="6">
        <f t="shared" si="14"/>
        <v>72.190816198830149</v>
      </c>
      <c r="E48" s="6">
        <f t="shared" si="14"/>
        <v>0</v>
      </c>
      <c r="F48" s="6">
        <f t="shared" si="14"/>
        <v>55.315887141522381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124</v>
      </c>
      <c r="C49" s="6">
        <f t="shared" ref="C49:J49" si="15">C25*IF(ISBLANK(C26),C12,C12+(C26-C12)*(4)/4)</f>
        <v>123.35888896982225</v>
      </c>
      <c r="D49" s="6">
        <f t="shared" si="15"/>
        <v>74.481864327122864</v>
      </c>
      <c r="E49" s="6">
        <f t="shared" si="15"/>
        <v>0</v>
      </c>
      <c r="F49" s="6">
        <f t="shared" si="15"/>
        <v>38.047594954107893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125</v>
      </c>
      <c r="C51" s="6">
        <f t="shared" ref="C51:J55" si="16">C39-C45</f>
        <v>567.87892255511679</v>
      </c>
      <c r="D51" s="6">
        <f t="shared" si="16"/>
        <v>591.3842304610796</v>
      </c>
      <c r="E51" s="6">
        <f t="shared" si="16"/>
        <v>721.52707257839108</v>
      </c>
      <c r="F51" s="6">
        <f t="shared" si="16"/>
        <v>161.40581424212724</v>
      </c>
      <c r="G51" s="6">
        <f t="shared" si="16"/>
        <v>361.1313002395587</v>
      </c>
      <c r="H51" s="6">
        <f t="shared" si="16"/>
        <v>1328.9717759968012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126</v>
      </c>
      <c r="C52" s="6">
        <f t="shared" si="16"/>
        <v>605.58915572370006</v>
      </c>
      <c r="D52" s="6">
        <f t="shared" si="16"/>
        <v>688.1953967844413</v>
      </c>
      <c r="E52" s="6">
        <f t="shared" si="16"/>
        <v>764.45987331415517</v>
      </c>
      <c r="F52" s="6">
        <f t="shared" si="16"/>
        <v>240.75183535451049</v>
      </c>
      <c r="G52" s="6">
        <f t="shared" si="16"/>
        <v>424.8520521619414</v>
      </c>
      <c r="H52" s="6">
        <f t="shared" si="16"/>
        <v>1300.5159994091889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127</v>
      </c>
      <c r="C53" s="6">
        <f t="shared" si="16"/>
        <v>645.45795290962405</v>
      </c>
      <c r="D53" s="6">
        <f t="shared" si="16"/>
        <v>790.55573564882968</v>
      </c>
      <c r="E53" s="6">
        <f t="shared" si="16"/>
        <v>809.39100190368299</v>
      </c>
      <c r="F53" s="6">
        <f t="shared" si="16"/>
        <v>324.97154422097145</v>
      </c>
      <c r="G53" s="6">
        <f t="shared" si="16"/>
        <v>492.25356626193991</v>
      </c>
      <c r="H53" s="6">
        <f t="shared" si="16"/>
        <v>1268.4403280348479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128</v>
      </c>
      <c r="C54" s="6">
        <f t="shared" si="16"/>
        <v>687.59980655735615</v>
      </c>
      <c r="D54" s="6">
        <f t="shared" si="16"/>
        <v>898.71995850001383</v>
      </c>
      <c r="E54" s="6">
        <f t="shared" si="16"/>
        <v>856.40405543170095</v>
      </c>
      <c r="F54" s="6">
        <f t="shared" si="16"/>
        <v>414.2943683504418</v>
      </c>
      <c r="G54" s="6">
        <f t="shared" si="16"/>
        <v>563.50529002897508</v>
      </c>
      <c r="H54" s="6">
        <f t="shared" si="16"/>
        <v>1232.5262275650268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129</v>
      </c>
      <c r="C55" s="6">
        <f t="shared" si="16"/>
        <v>732.13500603589478</v>
      </c>
      <c r="D55" s="6">
        <f t="shared" si="16"/>
        <v>1012.953354848871</v>
      </c>
      <c r="E55" s="6">
        <f t="shared" si="16"/>
        <v>905.58592439406232</v>
      </c>
      <c r="F55" s="6">
        <f t="shared" si="16"/>
        <v>508.95938882538962</v>
      </c>
      <c r="G55" s="6">
        <f t="shared" si="16"/>
        <v>638.78371895723171</v>
      </c>
      <c r="H55" s="6">
        <f t="shared" si="16"/>
        <v>1192.5443006604755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130</v>
      </c>
      <c r="C57" s="6">
        <f t="shared" ref="C57:J57" si="17">C51/((1+C16))</f>
        <v>527.97177612561302</v>
      </c>
      <c r="D57" s="6">
        <f t="shared" si="17"/>
        <v>548.91796384320639</v>
      </c>
      <c r="E57" s="6">
        <f t="shared" si="17"/>
        <v>670.82244982415887</v>
      </c>
      <c r="F57" s="6">
        <f t="shared" si="17"/>
        <v>150.06317550753204</v>
      </c>
      <c r="G57" s="6">
        <f t="shared" si="17"/>
        <v>335.75314460368298</v>
      </c>
      <c r="H57" s="6">
        <f t="shared" si="17"/>
        <v>1235.579559524399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131</v>
      </c>
      <c r="C58" s="6">
        <f t="shared" ref="C58:J58" si="18">C52/((1+C16)*(1+C16+(C104-C16)*1/5))</f>
        <v>523.71582472051773</v>
      </c>
      <c r="D58" s="6">
        <f t="shared" si="18"/>
        <v>593.38688799601357</v>
      </c>
      <c r="E58" s="6">
        <f t="shared" si="18"/>
        <v>661.1078306711446</v>
      </c>
      <c r="F58" s="6">
        <f t="shared" si="18"/>
        <v>208.20311066334924</v>
      </c>
      <c r="G58" s="6">
        <f t="shared" si="18"/>
        <v>367.41368430928765</v>
      </c>
      <c r="H58" s="6">
        <f t="shared" si="18"/>
        <v>1124.6912246618297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132</v>
      </c>
      <c r="C59" s="6">
        <f t="shared" ref="C59:J59" si="19">C53/((1+C16)*(1+C16+(C104-C16)*1/5)*(1+C16+(C104-C16)*2/5))</f>
        <v>519.46465765479547</v>
      </c>
      <c r="D59" s="6">
        <f t="shared" si="19"/>
        <v>633.72116490594783</v>
      </c>
      <c r="E59" s="6">
        <f t="shared" si="19"/>
        <v>651.39800016011156</v>
      </c>
      <c r="F59" s="6">
        <f t="shared" si="19"/>
        <v>261.53714770314997</v>
      </c>
      <c r="G59" s="6">
        <f t="shared" si="19"/>
        <v>396.16574422070005</v>
      </c>
      <c r="H59" s="6">
        <f t="shared" si="19"/>
        <v>1020.8409669257234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133</v>
      </c>
      <c r="C60" s="6">
        <f t="shared" ref="C60:J60" si="20">C54/((1+C16)*(1+C16+(C104-C16)*1/5)*(1+C16+(C104-C16)*2/5)*(1+C16+(C104-C16)*3/5))</f>
        <v>515.23116901612207</v>
      </c>
      <c r="D60" s="6">
        <f t="shared" si="20"/>
        <v>670.318154712759</v>
      </c>
      <c r="E60" s="6">
        <f t="shared" si="20"/>
        <v>641.71929430788236</v>
      </c>
      <c r="F60" s="6">
        <f t="shared" si="20"/>
        <v>310.43838245202943</v>
      </c>
      <c r="G60" s="6">
        <f t="shared" si="20"/>
        <v>422.24486766806467</v>
      </c>
      <c r="H60" s="6">
        <f t="shared" si="20"/>
        <v>923.55454875827991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134</v>
      </c>
      <c r="C61" s="6">
        <f t="shared" ref="C61:J61" si="21">C55/((1+C16)*(1+C16+(C104-C16)*1/5)*(1+C16+(C104-C16)*2/5)*(1+C16+(C104-C16)*3/5)*(1+C16+(C104-C16)*4/5))</f>
        <v>511.02703769271966</v>
      </c>
      <c r="D61" s="6">
        <f t="shared" si="21"/>
        <v>703.53959770975814</v>
      </c>
      <c r="E61" s="6">
        <f t="shared" si="21"/>
        <v>632.09502141553378</v>
      </c>
      <c r="F61" s="6">
        <f t="shared" si="21"/>
        <v>355.25143127029264</v>
      </c>
      <c r="G61" s="6">
        <f t="shared" si="21"/>
        <v>445.86824688594191</v>
      </c>
      <c r="H61" s="6">
        <f t="shared" si="21"/>
        <v>832.3907151818122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135</v>
      </c>
    </row>
    <row r="63" spans="1:10" x14ac:dyDescent="0.4">
      <c r="A63" s="4" t="s">
        <v>136</v>
      </c>
      <c r="C63" s="6">
        <f t="shared" ref="C63:J63" si="22">C25*(1+(C6+(C13-C6)*1/5))</f>
        <v>12806.764636323531</v>
      </c>
      <c r="D63" s="6">
        <f t="shared" si="22"/>
        <v>15345.814379345771</v>
      </c>
      <c r="E63" s="6">
        <f t="shared" si="22"/>
        <v>10350.174915719475</v>
      </c>
      <c r="F63" s="6">
        <f t="shared" si="22"/>
        <v>7846.7168643966934</v>
      </c>
      <c r="G63" s="6">
        <f t="shared" si="22"/>
        <v>10799.397075780375</v>
      </c>
      <c r="H63" s="6">
        <f t="shared" si="22"/>
        <v>11759.62045103494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137</v>
      </c>
      <c r="C64" s="6">
        <f t="shared" ref="C64:J64" si="23">C63*(1+(C6+(C13-C6)*2/5))</f>
        <v>13249.960706173275</v>
      </c>
      <c r="D64" s="6">
        <f t="shared" si="23"/>
        <v>15784.802943886902</v>
      </c>
      <c r="E64" s="6">
        <f t="shared" si="23"/>
        <v>10646.256199950089</v>
      </c>
      <c r="F64" s="6">
        <f t="shared" si="23"/>
        <v>8086.8766501555474</v>
      </c>
      <c r="G64" s="6">
        <f t="shared" si="23"/>
        <v>11108.328990569287</v>
      </c>
      <c r="H64" s="6">
        <f t="shared" si="23"/>
        <v>12119.050906567578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138</v>
      </c>
      <c r="C65" s="6">
        <f t="shared" ref="C65:J65" si="24">C64*(1+(C6+(C13-C6)*3/5))</f>
        <v>13661.260728872729</v>
      </c>
      <c r="D65" s="6">
        <f t="shared" si="24"/>
        <v>16211.649321736708</v>
      </c>
      <c r="E65" s="6">
        <f t="shared" si="24"/>
        <v>10934.148035709093</v>
      </c>
      <c r="F65" s="6">
        <f t="shared" si="24"/>
        <v>8329.8193896330085</v>
      </c>
      <c r="G65" s="6">
        <f t="shared" si="24"/>
        <v>11408.716015383226</v>
      </c>
      <c r="H65" s="6">
        <f t="shared" si="24"/>
        <v>12462.592079366275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139</v>
      </c>
      <c r="C66" s="6">
        <f t="shared" ref="C66:J66" si="25">C65*(1+(C6+(C13-C6)*4/5))</f>
        <v>14036.628491703526</v>
      </c>
      <c r="D66" s="6">
        <f t="shared" si="25"/>
        <v>16624.670309566485</v>
      </c>
      <c r="E66" s="6">
        <f t="shared" si="25"/>
        <v>11212.715165626618</v>
      </c>
      <c r="F66" s="6">
        <f t="shared" si="25"/>
        <v>8575.3558305702809</v>
      </c>
      <c r="G66" s="6">
        <f t="shared" si="25"/>
        <v>11699.373619987653</v>
      </c>
      <c r="H66" s="6">
        <f t="shared" si="25"/>
        <v>12788.234643105765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140</v>
      </c>
      <c r="C67" s="6">
        <f t="shared" ref="C67:J67" si="26">C66*(1+(C6+(C13-C6)*5/5))</f>
        <v>14372.272377176358</v>
      </c>
      <c r="D67" s="6">
        <f t="shared" si="26"/>
        <v>17022.199455593665</v>
      </c>
      <c r="E67" s="6">
        <f t="shared" si="26"/>
        <v>11480.833630620935</v>
      </c>
      <c r="F67" s="6">
        <f t="shared" si="26"/>
        <v>8823.2865336042069</v>
      </c>
      <c r="G67" s="6">
        <f t="shared" si="26"/>
        <v>11979.129062808695</v>
      </c>
      <c r="H67" s="6">
        <f t="shared" si="26"/>
        <v>13094.026932649316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141</v>
      </c>
      <c r="C69" s="11">
        <f t="shared" ref="C69:J69" si="27">IF(ISBLANK(C9),C7,C9)</f>
        <v>9.5000000000000001E-2</v>
      </c>
      <c r="D69" s="11">
        <f t="shared" si="27"/>
        <v>0.1</v>
      </c>
      <c r="E69" s="11">
        <f t="shared" si="27"/>
        <v>0.123472010677442</v>
      </c>
      <c r="F69" s="11">
        <f t="shared" si="27"/>
        <v>9.8472010677442032E-2</v>
      </c>
      <c r="G69" s="11">
        <f t="shared" si="27"/>
        <v>8.3472010677442032E-2</v>
      </c>
      <c r="H69" s="11">
        <f t="shared" si="27"/>
        <v>0.143472010677442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142</v>
      </c>
      <c r="C70" s="11">
        <f t="shared" ref="C70:J70" si="28">IF(ISBLANK(C9),C7,C9)</f>
        <v>9.5000000000000001E-2</v>
      </c>
      <c r="D70" s="11">
        <f t="shared" si="28"/>
        <v>0.1</v>
      </c>
      <c r="E70" s="11">
        <f t="shared" si="28"/>
        <v>0.123472010677442</v>
      </c>
      <c r="F70" s="11">
        <f t="shared" si="28"/>
        <v>9.8472010677442032E-2</v>
      </c>
      <c r="G70" s="11">
        <f t="shared" si="28"/>
        <v>8.3472010677442032E-2</v>
      </c>
      <c r="H70" s="11">
        <f t="shared" si="28"/>
        <v>0.143472010677442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143</v>
      </c>
      <c r="C71" s="11">
        <f t="shared" ref="C71:J71" si="29">IF(ISBLANK(C9),C7,C9)</f>
        <v>9.5000000000000001E-2</v>
      </c>
      <c r="D71" s="11">
        <f t="shared" si="29"/>
        <v>0.1</v>
      </c>
      <c r="E71" s="11">
        <f t="shared" si="29"/>
        <v>0.123472010677442</v>
      </c>
      <c r="F71" s="11">
        <f t="shared" si="29"/>
        <v>9.8472010677442032E-2</v>
      </c>
      <c r="G71" s="11">
        <f t="shared" si="29"/>
        <v>8.3472010677442032E-2</v>
      </c>
      <c r="H71" s="11">
        <f t="shared" si="29"/>
        <v>0.143472010677442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144</v>
      </c>
      <c r="C72" s="11">
        <f t="shared" ref="C72:J72" si="30">IF(ISBLANK(C9),C7,C9)</f>
        <v>9.5000000000000001E-2</v>
      </c>
      <c r="D72" s="11">
        <f t="shared" si="30"/>
        <v>0.1</v>
      </c>
      <c r="E72" s="11">
        <f t="shared" si="30"/>
        <v>0.123472010677442</v>
      </c>
      <c r="F72" s="11">
        <f t="shared" si="30"/>
        <v>9.8472010677442032E-2</v>
      </c>
      <c r="G72" s="11">
        <f t="shared" si="30"/>
        <v>8.3472010677442032E-2</v>
      </c>
      <c r="H72" s="11">
        <f t="shared" si="30"/>
        <v>0.143472010677442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145</v>
      </c>
      <c r="C73" s="11">
        <f t="shared" ref="C73:J73" si="31">IF(ISBLANK(C9),C7,C9)</f>
        <v>9.5000000000000001E-2</v>
      </c>
      <c r="D73" s="11">
        <f t="shared" si="31"/>
        <v>0.1</v>
      </c>
      <c r="E73" s="11">
        <f t="shared" si="31"/>
        <v>0.123472010677442</v>
      </c>
      <c r="F73" s="11">
        <f t="shared" si="31"/>
        <v>9.8472010677442032E-2</v>
      </c>
      <c r="G73" s="11">
        <f t="shared" si="31"/>
        <v>8.3472010677442032E-2</v>
      </c>
      <c r="H73" s="11">
        <f t="shared" si="31"/>
        <v>0.143472010677442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146</v>
      </c>
      <c r="C75" s="6">
        <f t="shared" ref="C75:J79" si="32">C63*C69</f>
        <v>1216.6426404507354</v>
      </c>
      <c r="D75" s="6">
        <f t="shared" si="32"/>
        <v>1534.5814379345773</v>
      </c>
      <c r="E75" s="6">
        <f t="shared" si="32"/>
        <v>1277.9569077071073</v>
      </c>
      <c r="F75" s="6">
        <f t="shared" si="32"/>
        <v>772.68198685373568</v>
      </c>
      <c r="G75" s="6">
        <f t="shared" si="32"/>
        <v>901.44738801947562</v>
      </c>
      <c r="H75" s="6">
        <f t="shared" si="32"/>
        <v>1687.1763909135502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147</v>
      </c>
      <c r="C76" s="6">
        <f t="shared" si="32"/>
        <v>1258.7462670864611</v>
      </c>
      <c r="D76" s="6">
        <f t="shared" si="32"/>
        <v>1578.4802943886903</v>
      </c>
      <c r="E76" s="6">
        <f t="shared" si="32"/>
        <v>1314.5146591950204</v>
      </c>
      <c r="F76" s="6">
        <f t="shared" si="32"/>
        <v>796.33100384127374</v>
      </c>
      <c r="G76" s="6">
        <f t="shared" si="32"/>
        <v>927.23455610933843</v>
      </c>
      <c r="H76" s="6">
        <f t="shared" si="32"/>
        <v>1738.7446010675267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148</v>
      </c>
      <c r="C77" s="6">
        <f t="shared" si="32"/>
        <v>1297.8197692429092</v>
      </c>
      <c r="D77" s="6">
        <f t="shared" si="32"/>
        <v>1621.1649321736709</v>
      </c>
      <c r="E77" s="6">
        <f t="shared" si="32"/>
        <v>1350.0612430138046</v>
      </c>
      <c r="F77" s="6">
        <f t="shared" si="32"/>
        <v>820.2540638771053</v>
      </c>
      <c r="G77" s="6">
        <f t="shared" si="32"/>
        <v>952.30846505197258</v>
      </c>
      <c r="H77" s="6">
        <f t="shared" si="32"/>
        <v>1788.0331438794424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149</v>
      </c>
      <c r="C78" s="6">
        <f t="shared" si="32"/>
        <v>1333.479706711835</v>
      </c>
      <c r="D78" s="6">
        <f t="shared" si="32"/>
        <v>1662.4670309566486</v>
      </c>
      <c r="E78" s="6">
        <f t="shared" si="32"/>
        <v>1384.4564866533656</v>
      </c>
      <c r="F78" s="6">
        <f t="shared" si="32"/>
        <v>844.43253091078145</v>
      </c>
      <c r="G78" s="6">
        <f t="shared" si="32"/>
        <v>976.57023972699301</v>
      </c>
      <c r="H78" s="6">
        <f t="shared" si="32"/>
        <v>1834.753737261304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150</v>
      </c>
      <c r="C79" s="6">
        <f t="shared" si="32"/>
        <v>1365.365875831754</v>
      </c>
      <c r="D79" s="6">
        <f t="shared" si="32"/>
        <v>1702.2199455593666</v>
      </c>
      <c r="E79" s="6">
        <f t="shared" si="32"/>
        <v>1417.5616126259633</v>
      </c>
      <c r="F79" s="6">
        <f t="shared" si="32"/>
        <v>868.8467657472039</v>
      </c>
      <c r="G79" s="6">
        <f t="shared" si="32"/>
        <v>999.92198903722363</v>
      </c>
      <c r="H79" s="6">
        <f t="shared" si="32"/>
        <v>1878.6263718917758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151</v>
      </c>
      <c r="C81" s="6">
        <f>C75*(1-Inputs!B22)</f>
        <v>888.14912752903683</v>
      </c>
      <c r="D81" s="6">
        <f>D75*(1-Inputs!B22)</f>
        <v>1120.2444496922415</v>
      </c>
      <c r="E81" s="6">
        <f>E75*(1-Inputs!B22)</f>
        <v>932.90854262618836</v>
      </c>
      <c r="F81" s="6">
        <f>F75*(1-Inputs!B22)</f>
        <v>564.05785040322701</v>
      </c>
      <c r="G81" s="6">
        <f>G75*(1-Inputs!B22)</f>
        <v>658.0565932542172</v>
      </c>
      <c r="H81" s="6">
        <f>H75*(1-Inputs!B22)</f>
        <v>1231.6387653668917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152</v>
      </c>
      <c r="C82" s="6">
        <f>C76*(1-Inputs!B22)</f>
        <v>918.88477497311658</v>
      </c>
      <c r="D82" s="6">
        <f>D76*(1-Inputs!B22)</f>
        <v>1152.2906149037437</v>
      </c>
      <c r="E82" s="6">
        <f>E76*(1-Inputs!B22)</f>
        <v>959.59570121236482</v>
      </c>
      <c r="F82" s="6">
        <f>F76*(1-Inputs!B22)</f>
        <v>581.32163280412976</v>
      </c>
      <c r="G82" s="6">
        <f>G76*(1-Inputs!B22)</f>
        <v>676.88122595981702</v>
      </c>
      <c r="H82" s="6">
        <f>H76*(1-Inputs!B22)</f>
        <v>1269.2835587792945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153</v>
      </c>
      <c r="C83" s="6">
        <f>C77*(1-Inputs!B22)</f>
        <v>947.40843154732363</v>
      </c>
      <c r="D83" s="6">
        <f>D77*(1-Inputs!B22)</f>
        <v>1183.4504004867797</v>
      </c>
      <c r="E83" s="6">
        <f>E77*(1-Inputs!B22)</f>
        <v>985.54470740007741</v>
      </c>
      <c r="F83" s="6">
        <f>F77*(1-Inputs!B22)</f>
        <v>598.78546663028681</v>
      </c>
      <c r="G83" s="6">
        <f>G77*(1-Inputs!B22)</f>
        <v>695.18517948793999</v>
      </c>
      <c r="H83" s="6">
        <f>H77*(1-Inputs!B22)</f>
        <v>1305.2641950319928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154</v>
      </c>
      <c r="C84" s="6">
        <f>C78*(1-Inputs!B22)</f>
        <v>973.44018589963946</v>
      </c>
      <c r="D84" s="6">
        <f>D78*(1-Inputs!B22)</f>
        <v>1213.6009325983534</v>
      </c>
      <c r="E84" s="6">
        <f>E78*(1-Inputs!B22)</f>
        <v>1010.6532352569568</v>
      </c>
      <c r="F84" s="6">
        <f>F78*(1-Inputs!B22)</f>
        <v>616.43574756487044</v>
      </c>
      <c r="G84" s="6">
        <f>G78*(1-Inputs!B22)</f>
        <v>712.89627500070492</v>
      </c>
      <c r="H84" s="6">
        <f>H78*(1-Inputs!B22)</f>
        <v>1339.3702282007519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155</v>
      </c>
      <c r="C85" s="6">
        <f>C79*(1-Inputs!B22)</f>
        <v>996.71708935718038</v>
      </c>
      <c r="D85" s="6">
        <f>D79*(1-Inputs!B22)</f>
        <v>1242.6205602583375</v>
      </c>
      <c r="E85" s="6">
        <f>E79*(1-Inputs!B22)</f>
        <v>1034.8199772169532</v>
      </c>
      <c r="F85" s="6">
        <f>F79*(1-Inputs!B22)</f>
        <v>634.25813899545881</v>
      </c>
      <c r="G85" s="6">
        <f>G79*(1-Inputs!B22)</f>
        <v>729.94305199717326</v>
      </c>
      <c r="H85" s="6">
        <f>H79*(1-Inputs!B22)</f>
        <v>1371.3972514809964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156</v>
      </c>
      <c r="C87" s="6">
        <f t="shared" ref="C87:J87" si="33">C63*MAX(IF(ISBLANK(C26),C12,C26),0)</f>
        <v>128.0676463632353</v>
      </c>
      <c r="D87" s="6">
        <f t="shared" si="33"/>
        <v>76.729071896728854</v>
      </c>
      <c r="E87" s="6">
        <f t="shared" si="33"/>
        <v>0</v>
      </c>
      <c r="F87" s="6">
        <f t="shared" si="33"/>
        <v>39.233584321983464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157</v>
      </c>
      <c r="C88" s="6">
        <f t="shared" ref="C88:J88" si="34">C64*MAX(IF(ISBLANK(C26),C12,C26),0)</f>
        <v>132.49960706173275</v>
      </c>
      <c r="D88" s="6">
        <f t="shared" si="34"/>
        <v>78.92401471943451</v>
      </c>
      <c r="E88" s="6">
        <f t="shared" si="34"/>
        <v>0</v>
      </c>
      <c r="F88" s="6">
        <f t="shared" si="34"/>
        <v>40.434383250777735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158</v>
      </c>
      <c r="C89" s="6">
        <f t="shared" ref="C89:J89" si="35">C65*MAX(IF(ISBLANK(C26),C12,C26),0)</f>
        <v>136.61260728872728</v>
      </c>
      <c r="D89" s="6">
        <f t="shared" si="35"/>
        <v>81.058246608683547</v>
      </c>
      <c r="E89" s="6">
        <f t="shared" si="35"/>
        <v>0</v>
      </c>
      <c r="F89" s="6">
        <f t="shared" si="35"/>
        <v>41.649096948165045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159</v>
      </c>
      <c r="C90" s="6">
        <f t="shared" ref="C90:J90" si="36">C66*MAX(IF(ISBLANK(C26),C12,C26),0)</f>
        <v>140.36628491703527</v>
      </c>
      <c r="D90" s="6">
        <f t="shared" si="36"/>
        <v>83.123351547832428</v>
      </c>
      <c r="E90" s="6">
        <f t="shared" si="36"/>
        <v>0</v>
      </c>
      <c r="F90" s="6">
        <f t="shared" si="36"/>
        <v>42.876779152851405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160</v>
      </c>
      <c r="C91" s="6">
        <f t="shared" ref="C91:J91" si="37">C67*MAX(IF(ISBLANK(C26),C12,C26),0)</f>
        <v>143.72272377176358</v>
      </c>
      <c r="D91" s="6">
        <f t="shared" si="37"/>
        <v>85.110997277968323</v>
      </c>
      <c r="E91" s="6">
        <f t="shared" si="37"/>
        <v>0</v>
      </c>
      <c r="F91" s="6">
        <f t="shared" si="37"/>
        <v>44.116432668021034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161</v>
      </c>
      <c r="C93" s="6">
        <f t="shared" ref="C93:J97" si="38">C81-C87</f>
        <v>760.08148116580151</v>
      </c>
      <c r="D93" s="6">
        <f t="shared" si="38"/>
        <v>1043.5153777955127</v>
      </c>
      <c r="E93" s="6">
        <f t="shared" si="38"/>
        <v>932.90854262618836</v>
      </c>
      <c r="F93" s="6">
        <f t="shared" si="38"/>
        <v>524.82426608124354</v>
      </c>
      <c r="G93" s="6">
        <f t="shared" si="38"/>
        <v>658.0565932542172</v>
      </c>
      <c r="H93" s="6">
        <f t="shared" si="38"/>
        <v>1231.6387653668917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162</v>
      </c>
      <c r="C94" s="6">
        <f t="shared" si="38"/>
        <v>786.38516791138386</v>
      </c>
      <c r="D94" s="6">
        <f t="shared" si="38"/>
        <v>1073.3666001843092</v>
      </c>
      <c r="E94" s="6">
        <f t="shared" si="38"/>
        <v>959.59570121236482</v>
      </c>
      <c r="F94" s="6">
        <f t="shared" si="38"/>
        <v>540.88724955335204</v>
      </c>
      <c r="G94" s="6">
        <f t="shared" si="38"/>
        <v>676.88122595981702</v>
      </c>
      <c r="H94" s="6">
        <f t="shared" si="38"/>
        <v>1269.2835587792945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163</v>
      </c>
      <c r="C95" s="6">
        <f t="shared" si="38"/>
        <v>810.79582425859633</v>
      </c>
      <c r="D95" s="6">
        <f t="shared" si="38"/>
        <v>1102.3921538780962</v>
      </c>
      <c r="E95" s="6">
        <f t="shared" si="38"/>
        <v>985.54470740007741</v>
      </c>
      <c r="F95" s="6">
        <f t="shared" si="38"/>
        <v>557.13636968212177</v>
      </c>
      <c r="G95" s="6">
        <f t="shared" si="38"/>
        <v>695.18517948793999</v>
      </c>
      <c r="H95" s="6">
        <f t="shared" si="38"/>
        <v>1305.2641950319928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164</v>
      </c>
      <c r="C96" s="6">
        <f t="shared" si="38"/>
        <v>833.07390098260419</v>
      </c>
      <c r="D96" s="6">
        <f t="shared" si="38"/>
        <v>1130.4775810505209</v>
      </c>
      <c r="E96" s="6">
        <f t="shared" si="38"/>
        <v>1010.6532352569568</v>
      </c>
      <c r="F96" s="6">
        <f t="shared" si="38"/>
        <v>573.558968412019</v>
      </c>
      <c r="G96" s="6">
        <f t="shared" si="38"/>
        <v>712.89627500070492</v>
      </c>
      <c r="H96" s="6">
        <f t="shared" si="38"/>
        <v>1339.3702282007519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165</v>
      </c>
      <c r="C97" s="6">
        <f t="shared" si="38"/>
        <v>852.99436558541674</v>
      </c>
      <c r="D97" s="6">
        <f t="shared" si="38"/>
        <v>1157.5095629803691</v>
      </c>
      <c r="E97" s="6">
        <f t="shared" si="38"/>
        <v>1034.8199772169532</v>
      </c>
      <c r="F97" s="6">
        <f t="shared" si="38"/>
        <v>590.14170632743776</v>
      </c>
      <c r="G97" s="6">
        <f t="shared" si="38"/>
        <v>729.94305199717326</v>
      </c>
      <c r="H97" s="6">
        <f t="shared" si="38"/>
        <v>1371.3972514809964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166</v>
      </c>
      <c r="C99" s="6">
        <f t="shared" ref="C99:J99" si="39">C93/(((1+C16)*(1+C16+(C104-C16)*1/5)*(1+C16+(C104-C16)*2/5)*(1+C16+(C104-C16)*3/5)*(1+C16+(C104-C16)*4/5))*(1+C104)^1)</f>
        <v>494.4327983445537</v>
      </c>
      <c r="D99" s="6">
        <f t="shared" si="39"/>
        <v>675.44869511607544</v>
      </c>
      <c r="E99" s="6">
        <f t="shared" si="39"/>
        <v>606.85675517673599</v>
      </c>
      <c r="F99" s="6">
        <f t="shared" si="39"/>
        <v>341.39804343038793</v>
      </c>
      <c r="G99" s="6">
        <f t="shared" si="39"/>
        <v>428.06563629563351</v>
      </c>
      <c r="H99" s="6">
        <f t="shared" si="39"/>
        <v>801.18068443920754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167</v>
      </c>
      <c r="C100" s="6">
        <f t="shared" ref="C100:J100" si="40">C94/(((1+C16)*(1+C16+(C104-C16)*1/5)*(1+C16+(C104-C16)*2/5)*(1+C16+(C104-C16)*3/5)*(1+C16+(C104-C16)*4/5))*(1+C104)^2)</f>
        <v>476.73479325608179</v>
      </c>
      <c r="D100" s="6">
        <f t="shared" si="40"/>
        <v>647.49438328246436</v>
      </c>
      <c r="E100" s="6">
        <f t="shared" si="40"/>
        <v>581.7412088810571</v>
      </c>
      <c r="F100" s="6">
        <f t="shared" si="40"/>
        <v>327.90518134457704</v>
      </c>
      <c r="G100" s="6">
        <f t="shared" si="40"/>
        <v>410.34959010473113</v>
      </c>
      <c r="H100" s="6">
        <f t="shared" si="40"/>
        <v>769.48505601288184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168</v>
      </c>
      <c r="C101" s="6">
        <f t="shared" ref="C101:J101" si="41">C95/(((1+C16)*(1+C16+(C104-C16)*1/5)*(1+C16+(C104-C16)*2/5)*(1+C16+(C104-C16)*3/5)*(1+C16+(C104-C16)*4/5))*(1+C104)^3)</f>
        <v>458.08645795435217</v>
      </c>
      <c r="D101" s="6">
        <f t="shared" si="41"/>
        <v>619.75274119822541</v>
      </c>
      <c r="E101" s="6">
        <f t="shared" si="41"/>
        <v>556.81673568235976</v>
      </c>
      <c r="F101" s="6">
        <f t="shared" si="41"/>
        <v>314.77299037473892</v>
      </c>
      <c r="G101" s="6">
        <f t="shared" si="41"/>
        <v>392.76832337560552</v>
      </c>
      <c r="H101" s="6">
        <f t="shared" si="41"/>
        <v>737.45304786639065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169</v>
      </c>
      <c r="C102" s="6">
        <f t="shared" ref="C102:J102" si="42">C96/(((1+C16)*(1+C16+(C104-C16)*1/5)*(1+C16+(C104-C16)*2/5)*(1+C16+(C104-C16)*3/5)*(1+C16+(C104-C16)*4/5))*(1+C104)^4)</f>
        <v>438.64571720320788</v>
      </c>
      <c r="D102" s="6">
        <f t="shared" si="42"/>
        <v>592.29587975066408</v>
      </c>
      <c r="E102" s="6">
        <f t="shared" si="42"/>
        <v>532.14812359400435</v>
      </c>
      <c r="F102" s="6">
        <f t="shared" si="42"/>
        <v>302.00104067679308</v>
      </c>
      <c r="G102" s="6">
        <f t="shared" si="42"/>
        <v>375.36753638583781</v>
      </c>
      <c r="H102" s="6">
        <f t="shared" si="42"/>
        <v>705.23036870652254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170</v>
      </c>
      <c r="C103" s="6">
        <f t="shared" ref="C103:J103" si="43">C97/(((1+C16)*(1+C16+(C104-C16)*1/5)*(1+C16+(C104-C16)*2/5)*(1+C16+(C104-C16)*3/5)*(1+C16+(C104-C16)*4/5))*(1+C104)^5)</f>
        <v>418.57274057786964</v>
      </c>
      <c r="D103" s="6">
        <f t="shared" si="43"/>
        <v>565.19167951972577</v>
      </c>
      <c r="E103" s="6">
        <f t="shared" si="43"/>
        <v>507.79635991048576</v>
      </c>
      <c r="F103" s="6">
        <f t="shared" si="43"/>
        <v>289.58835053646112</v>
      </c>
      <c r="G103" s="6">
        <f t="shared" si="43"/>
        <v>358.19024845555765</v>
      </c>
      <c r="H103" s="6">
        <f t="shared" si="43"/>
        <v>672.95814501587893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171</v>
      </c>
      <c r="C104" s="11">
        <f>MAX((Inputs!B18+((1+(1-Inputs!B22)*(Inputs!B36/(1-Inputs!B36)))/(1+(1-Inputs!B22)*0.25))*Inputs!B19+IF(ISBLANK(C17),Inputs!B24,C17)+Inputs!B25+Inputs!B39)*(1-Inputs!B36)+Inputs!B38*Inputs!B36,C15)</f>
        <v>7.3014486689961938E-2</v>
      </c>
      <c r="D104" s="11">
        <f>MAX((Inputs!B18+((1+(1-Inputs!B22)*(Inputs!B36/(1-Inputs!B36)))/(1+(1-Inputs!B22)*0.25))*Inputs!B19+IF(ISBLANK(D17),Inputs!B24,D17)+Inputs!B25+Inputs!B39)*(1-Inputs!B36)+Inputs!B38*Inputs!B36,D15)</f>
        <v>7.3014486689961938E-2</v>
      </c>
      <c r="E104" s="11">
        <f>MAX((Inputs!B18+((1+(1-Inputs!B22)*(Inputs!B36/(1-Inputs!B36)))/(1+(1-Inputs!B22)*0.25))*Inputs!B19+IF(ISBLANK(E17),Inputs!B24,E17)+Inputs!B25+Inputs!B39)*(1-Inputs!B36)+Inputs!B38*Inputs!B36,E15)</f>
        <v>7.3014486689961938E-2</v>
      </c>
      <c r="F104" s="11">
        <f>MAX((Inputs!B18+((1+(1-Inputs!B22)*(Inputs!B36/(1-Inputs!B36)))/(1+(1-Inputs!B22)*0.25))*Inputs!B19+IF(ISBLANK(F17),Inputs!B24,F17)+Inputs!B25+Inputs!B39)*(1-Inputs!B36)+Inputs!B38*Inputs!B36,F15)</f>
        <v>7.3014486689961938E-2</v>
      </c>
      <c r="G104" s="11">
        <f>MAX((Inputs!B18+((1+(1-Inputs!B22)*(Inputs!B36/(1-Inputs!B36)))/(1+(1-Inputs!B22)*0.25))*Inputs!B19+IF(ISBLANK(G17),Inputs!B24,G17)+Inputs!B25+Inputs!B39)*(1-Inputs!B36)+Inputs!B38*Inputs!B36,G15)</f>
        <v>7.3014486689961938E-2</v>
      </c>
      <c r="H104" s="11">
        <f>MAX((Inputs!B18+((1+(1-Inputs!B22)*(Inputs!B36/(1-Inputs!B36)))/(1+(1-Inputs!B22)*0.25))*Inputs!B19+IF(ISBLANK(H17),Inputs!B24,H17)+Inputs!B25+Inputs!B39)*(1-Inputs!B36)+Inputs!B38*Inputs!B36,H15)</f>
        <v>7.3014486689961938E-2</v>
      </c>
      <c r="I104" s="11">
        <f>MAX((Inputs!B18+((1+(1-Inputs!B22)*(Inputs!B36/(1-Inputs!B36)))/(1+(1-Inputs!B22)*0.25))*Inputs!B19+IF(ISBLANK(I17),Inputs!B24,I17)+Inputs!B25+Inputs!B39)*(1-Inputs!B36)+Inputs!B38*Inputs!B36,I15)</f>
        <v>7.3014486689961938E-2</v>
      </c>
      <c r="J104" s="11">
        <f>MAX((Inputs!B18+((1+(1-Inputs!B22)*(Inputs!B36/(1-Inputs!B36)))/(1+(1-Inputs!B22)*0.25))*Inputs!B19+IF(ISBLANK(J17),Inputs!B24,J17)+Inputs!B25+Inputs!B39)*(1-Inputs!B36)+Inputs!B38*Inputs!B36,J15)</f>
        <v>7.3014486689961938E-2</v>
      </c>
    </row>
    <row r="105" spans="1:11" x14ac:dyDescent="0.4">
      <c r="A105" s="4" t="s">
        <v>172</v>
      </c>
      <c r="C105" s="6">
        <f t="shared" ref="C105:J105" si="44">SUM(C57:C61,C99:C103)</f>
        <v>4883.8829725458336</v>
      </c>
      <c r="D105" s="6">
        <f t="shared" si="44"/>
        <v>6250.067148034841</v>
      </c>
      <c r="E105" s="6">
        <f t="shared" si="44"/>
        <v>6042.5017796234752</v>
      </c>
      <c r="F105" s="6">
        <f t="shared" si="44"/>
        <v>2861.1588539593113</v>
      </c>
      <c r="G105" s="6">
        <f t="shared" si="44"/>
        <v>3932.1870223050432</v>
      </c>
      <c r="H105" s="6">
        <f t="shared" si="44"/>
        <v>8823.3643170929263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173</v>
      </c>
      <c r="C106" s="6">
        <f t="shared" ref="C106:J106" si="45">IF(C5=0,0,C97*(1+C13)/(C104-C13))</f>
        <v>17787.107311721498</v>
      </c>
      <c r="D106" s="6">
        <f t="shared" si="45"/>
        <v>24137.025567508244</v>
      </c>
      <c r="E106" s="6">
        <f t="shared" si="45"/>
        <v>21578.63489571663</v>
      </c>
      <c r="F106" s="6">
        <f t="shared" si="45"/>
        <v>13768.01977541069</v>
      </c>
      <c r="G106" s="6">
        <f t="shared" si="45"/>
        <v>15221.173692523156</v>
      </c>
      <c r="H106" s="6">
        <f t="shared" si="45"/>
        <v>28597.129199500818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174</v>
      </c>
      <c r="C107" s="6">
        <f t="shared" ref="C107:J107" si="46">C106/(((1+C16)*(1+C16+(C104-C16)*1/5)*(1+C16+(C104-C16)*2/5)*(1+C16+(C104-C16)*3/5)*(1+C16+(C104-C16)*4/5))*(1+C104)^5)</f>
        <v>8728.3088315715104</v>
      </c>
      <c r="D107" s="6">
        <f t="shared" si="46"/>
        <v>11785.687527267461</v>
      </c>
      <c r="E107" s="6">
        <f t="shared" si="46"/>
        <v>10588.848778655733</v>
      </c>
      <c r="F107" s="6">
        <f t="shared" si="46"/>
        <v>6756.1029735159182</v>
      </c>
      <c r="G107" s="6">
        <f t="shared" si="46"/>
        <v>7469.179919985294</v>
      </c>
      <c r="H107" s="6">
        <f t="shared" si="46"/>
        <v>14032.893093589646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175</v>
      </c>
      <c r="C109" s="20">
        <f t="shared" ref="C109:J109" si="47">C105+C107</f>
        <v>13612.191804117345</v>
      </c>
      <c r="D109" s="20">
        <f t="shared" si="47"/>
        <v>18035.754675302302</v>
      </c>
      <c r="E109" s="20">
        <f t="shared" si="47"/>
        <v>16631.350558279206</v>
      </c>
      <c r="F109" s="20">
        <f t="shared" si="47"/>
        <v>9617.2618274752294</v>
      </c>
      <c r="G109" s="20">
        <f t="shared" si="47"/>
        <v>11401.366942290337</v>
      </c>
      <c r="H109" s="20">
        <f t="shared" si="47"/>
        <v>22856.25741068257</v>
      </c>
      <c r="I109" s="20">
        <f t="shared" si="47"/>
        <v>0</v>
      </c>
      <c r="J109" s="20">
        <f t="shared" si="47"/>
        <v>0</v>
      </c>
      <c r="K109" s="20">
        <f>SUM(C109:J109)</f>
        <v>92154.183218146994</v>
      </c>
    </row>
    <row r="110" spans="1:11" x14ac:dyDescent="0.4">
      <c r="A110" s="4" t="s">
        <v>176</v>
      </c>
      <c r="K110" s="11">
        <f>IFERROR(SUMPRODUCT(C109:J109,C16:J16)/SUM(C109:J109),0)</f>
        <v>7.5933702615189003E-2</v>
      </c>
    </row>
    <row r="111" spans="1:11" x14ac:dyDescent="0.4">
      <c r="A111" s="4" t="s">
        <v>177</v>
      </c>
      <c r="K111" s="5">
        <v>12500</v>
      </c>
    </row>
    <row r="112" spans="1:11" x14ac:dyDescent="0.4">
      <c r="A112" s="4" t="s">
        <v>178</v>
      </c>
      <c r="K112" s="5">
        <v>800</v>
      </c>
    </row>
    <row r="113" spans="1:11" x14ac:dyDescent="0.4">
      <c r="A113" s="4" t="s">
        <v>179</v>
      </c>
      <c r="K113" s="5">
        <v>-5719.9383623270069</v>
      </c>
    </row>
    <row r="114" spans="1:11" x14ac:dyDescent="0.4">
      <c r="A114" s="4" t="s">
        <v>180</v>
      </c>
      <c r="K114" s="5">
        <v>0</v>
      </c>
    </row>
    <row r="115" spans="1:11" x14ac:dyDescent="0.4">
      <c r="A115" s="4" t="s">
        <v>181</v>
      </c>
      <c r="K115" s="5">
        <v>0</v>
      </c>
    </row>
    <row r="116" spans="1:11" x14ac:dyDescent="0.4">
      <c r="A116" s="4" t="s">
        <v>182</v>
      </c>
      <c r="K116" s="5">
        <v>1350</v>
      </c>
    </row>
    <row r="117" spans="1:11" x14ac:dyDescent="0.4">
      <c r="A117" s="4" t="s">
        <v>183</v>
      </c>
      <c r="K117" s="5">
        <v>0</v>
      </c>
    </row>
    <row r="118" spans="1:11" x14ac:dyDescent="0.4">
      <c r="A118" s="4" t="s">
        <v>184</v>
      </c>
      <c r="K118" s="5">
        <v>0</v>
      </c>
    </row>
    <row r="119" spans="1:11" x14ac:dyDescent="0.4">
      <c r="A119" s="4" t="s">
        <v>185</v>
      </c>
      <c r="K119" s="20">
        <f>K109+K113+K114+K115+K116+K117+K118-K111-K112</f>
        <v>74484.244855819983</v>
      </c>
    </row>
    <row r="120" spans="1:11" x14ac:dyDescent="0.4">
      <c r="A120" s="4" t="s">
        <v>186</v>
      </c>
      <c r="K120" s="6">
        <f>Inputs!B11</f>
        <v>890</v>
      </c>
    </row>
    <row r="122" spans="1:11" ht="15.9" customHeight="1" x14ac:dyDescent="0.45">
      <c r="A122" s="4" t="s">
        <v>187</v>
      </c>
      <c r="K122" s="21">
        <f>K119/K120</f>
        <v>83.690162759348297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189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 t="s">
        <v>57</v>
      </c>
      <c r="F4" s="14" t="s">
        <v>58</v>
      </c>
      <c r="G4" s="14" t="s">
        <v>59</v>
      </c>
      <c r="H4" s="14" t="s">
        <v>60</v>
      </c>
      <c r="I4" s="14"/>
      <c r="J4" s="14"/>
    </row>
    <row r="5" spans="1:11" x14ac:dyDescent="0.4">
      <c r="A5" s="4" t="s">
        <v>65</v>
      </c>
      <c r="C5" s="5">
        <v>10055</v>
      </c>
      <c r="D5" s="5">
        <v>12742</v>
      </c>
      <c r="E5" s="5">
        <v>8594</v>
      </c>
      <c r="F5" s="5">
        <v>6509</v>
      </c>
      <c r="G5" s="5">
        <v>8967</v>
      </c>
      <c r="H5" s="5">
        <v>9587</v>
      </c>
      <c r="I5" s="5"/>
      <c r="J5" s="5"/>
    </row>
    <row r="6" spans="1:11" x14ac:dyDescent="0.4">
      <c r="A6" s="4" t="s">
        <v>66</v>
      </c>
      <c r="C6" s="7">
        <v>9.9999999999999985E-3</v>
      </c>
      <c r="D6" s="7">
        <v>8.2639946612789849E-3</v>
      </c>
      <c r="E6" s="7">
        <v>8.2639946612789849E-3</v>
      </c>
      <c r="F6" s="7">
        <v>8.2639946612789849E-3</v>
      </c>
      <c r="G6" s="7">
        <v>8.2639946612789849E-3</v>
      </c>
      <c r="H6" s="7">
        <v>8.2639946612789849E-3</v>
      </c>
      <c r="I6" s="7"/>
      <c r="J6" s="7"/>
    </row>
    <row r="7" spans="1:11" x14ac:dyDescent="0.4">
      <c r="A7" s="4" t="s">
        <v>67</v>
      </c>
      <c r="C7" s="7">
        <v>-3.1384012457015713E-2</v>
      </c>
      <c r="D7" s="7">
        <v>0.03</v>
      </c>
      <c r="E7" s="7">
        <v>6.0615987542984293E-2</v>
      </c>
      <c r="F7" s="7">
        <v>2.615987542984297E-3</v>
      </c>
      <c r="G7" s="7">
        <v>2.615987542984297E-3</v>
      </c>
      <c r="H7" s="7">
        <v>0.13261598754298429</v>
      </c>
      <c r="I7" s="7"/>
      <c r="J7" s="7"/>
    </row>
    <row r="8" spans="1:11" x14ac:dyDescent="0.4">
      <c r="A8" s="4" t="s">
        <v>68</v>
      </c>
      <c r="C8" s="15">
        <v>-3.6999999999999998E-2</v>
      </c>
      <c r="D8" s="15">
        <v>0.05</v>
      </c>
      <c r="E8" s="15">
        <v>8.2000000000000003E-2</v>
      </c>
      <c r="F8" s="15">
        <v>1.2E-2</v>
      </c>
      <c r="G8" s="15">
        <v>0.127</v>
      </c>
      <c r="H8" s="15">
        <v>0.14000000000000001</v>
      </c>
      <c r="I8" s="15"/>
      <c r="J8" s="15"/>
    </row>
    <row r="9" spans="1:11" x14ac:dyDescent="0.4">
      <c r="A9" s="4" t="s">
        <v>69</v>
      </c>
      <c r="C9" s="7">
        <v>5.4999999999999993E-2</v>
      </c>
      <c r="D9" s="7">
        <v>5.2615987542984299E-2</v>
      </c>
      <c r="E9" s="7">
        <v>7.2615987542984303E-2</v>
      </c>
      <c r="F9" s="7">
        <v>5.4999999999999993E-2</v>
      </c>
      <c r="G9" s="7">
        <v>3.2615987542984302E-2</v>
      </c>
      <c r="H9" s="7">
        <v>9.2615987542984293E-2</v>
      </c>
      <c r="I9" s="7"/>
      <c r="J9" s="7"/>
    </row>
    <row r="10" spans="1:11" x14ac:dyDescent="0.4">
      <c r="A10" s="4" t="s">
        <v>70</v>
      </c>
      <c r="C10" s="7">
        <v>0.21</v>
      </c>
      <c r="D10" s="7">
        <v>7.3999999999999996E-2</v>
      </c>
      <c r="E10" s="7">
        <v>4.5999999999999999E-2</v>
      </c>
      <c r="F10" s="7">
        <v>0.10199999999999999</v>
      </c>
      <c r="G10" s="7">
        <v>1.2999999999999999E-2</v>
      </c>
      <c r="H10" s="7">
        <v>3.6999999999999998E-2</v>
      </c>
      <c r="I10" s="7"/>
      <c r="J10" s="7"/>
    </row>
    <row r="11" spans="1:11" x14ac:dyDescent="0.4">
      <c r="A11" s="4" t="s">
        <v>71</v>
      </c>
      <c r="C11" s="7">
        <v>0.111</v>
      </c>
      <c r="D11" s="7">
        <v>6.8000000000000005E-2</v>
      </c>
      <c r="E11" s="7">
        <v>5.1999999999999998E-2</v>
      </c>
      <c r="F11" s="7">
        <v>8.5000000000000006E-2</v>
      </c>
      <c r="G11" s="7">
        <v>2.8000000000000001E-2</v>
      </c>
      <c r="H11" s="7">
        <v>6.0999999999999999E-2</v>
      </c>
      <c r="I11" s="7"/>
      <c r="J11" s="7"/>
    </row>
    <row r="12" spans="1:11" x14ac:dyDescent="0.4">
      <c r="A12" s="4" t="s">
        <v>72</v>
      </c>
      <c r="C12" s="7">
        <v>-0.04</v>
      </c>
      <c r="D12" s="7">
        <v>5.0000000000000001E-3</v>
      </c>
      <c r="E12" s="7">
        <v>0</v>
      </c>
      <c r="F12" s="7">
        <v>1.4999999999999999E-2</v>
      </c>
      <c r="G12" s="7">
        <v>0</v>
      </c>
      <c r="H12" s="7">
        <v>0</v>
      </c>
      <c r="I12" s="7"/>
      <c r="J12" s="7"/>
    </row>
    <row r="13" spans="1:11" x14ac:dyDescent="0.4">
      <c r="A13" s="4" t="s">
        <v>73</v>
      </c>
      <c r="C13" s="7">
        <v>1.413199733063949E-2</v>
      </c>
      <c r="D13" s="7">
        <v>1.413199733063949E-2</v>
      </c>
      <c r="E13" s="7">
        <v>1.413199733063949E-2</v>
      </c>
      <c r="F13" s="7">
        <v>1.9131997330639489E-2</v>
      </c>
      <c r="G13" s="7">
        <v>1.413199733063949E-2</v>
      </c>
      <c r="H13" s="7">
        <v>1.413199733063949E-2</v>
      </c>
      <c r="I13" s="7"/>
      <c r="J13" s="7"/>
    </row>
    <row r="14" spans="1:11" x14ac:dyDescent="0.4">
      <c r="A14" s="4" t="s">
        <v>74</v>
      </c>
      <c r="C14" s="9">
        <v>0.95399999999999996</v>
      </c>
      <c r="D14" s="9">
        <v>1.004210526315789</v>
      </c>
      <c r="E14" s="9">
        <v>0.95399999999999996</v>
      </c>
      <c r="F14" s="9">
        <v>0.95399999999999996</v>
      </c>
      <c r="G14" s="9">
        <v>0.95399999999999996</v>
      </c>
      <c r="H14" s="9">
        <v>0.95399999999999996</v>
      </c>
      <c r="I14" s="9"/>
      <c r="J14" s="9"/>
    </row>
    <row r="15" spans="1:11" x14ac:dyDescent="0.4">
      <c r="A15" s="4" t="s">
        <v>75</v>
      </c>
      <c r="C15" s="7">
        <v>7.2300000000000003E-2</v>
      </c>
      <c r="D15" s="7">
        <v>7.0099999999999996E-2</v>
      </c>
      <c r="E15" s="7">
        <v>7.2300000000000003E-2</v>
      </c>
      <c r="F15" s="7">
        <v>7.2300000000000003E-2</v>
      </c>
      <c r="G15" s="7">
        <v>7.2300000000000003E-2</v>
      </c>
      <c r="H15" s="7">
        <v>7.2300000000000003E-2</v>
      </c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7.5585757106851836E-2</v>
      </c>
      <c r="D16" s="11">
        <f>MAX((MAX(Inputs!B18+((1-0.33)*D14*(1+(1-Inputs!B22)*Inputs!B21)+0.33)*Inputs!B19+IF(ISBLANK(D17),Inputs!B24,D17)+Inputs!B25+Inputs!B39,MIN(Inputs!B27,0.08)+0.025))*Inputs!B29+Inputs!B28*Inputs!B30,D15)</f>
        <v>7.7363594225536042E-2</v>
      </c>
      <c r="E16" s="11">
        <f>MAX((MAX(Inputs!B18+((1-0.33)*E14*(1+(1-Inputs!B22)*Inputs!B21)+0.33)*Inputs!B19+IF(ISBLANK(E17),Inputs!B24,E17)+Inputs!B25+Inputs!B39,MIN(Inputs!B27,0.08)+0.025))*Inputs!B29+Inputs!B28*Inputs!B30,E15)</f>
        <v>7.5585757106851836E-2</v>
      </c>
      <c r="F16" s="11">
        <f>MAX((MAX(Inputs!B18+((1-0.33)*F14*(1+(1-Inputs!B22)*Inputs!B21)+0.33)*Inputs!B19+IF(ISBLANK(F17),Inputs!B24,F17)+Inputs!B25+Inputs!B39,MIN(Inputs!B27,0.08)+0.025))*Inputs!B29+Inputs!B28*Inputs!B30,F15)</f>
        <v>7.5585757106851836E-2</v>
      </c>
      <c r="G16" s="11">
        <f>MAX((MAX(Inputs!B18+((1-0.33)*G14*(1+(1-Inputs!B22)*Inputs!B21)+0.33)*Inputs!B19+IF(ISBLANK(G17),Inputs!B24,G17)+Inputs!B25+Inputs!B39,MIN(Inputs!B27,0.08)+0.025))*Inputs!B29+Inputs!B28*Inputs!B30,G15)</f>
        <v>7.5585757106851836E-2</v>
      </c>
      <c r="H16" s="11">
        <f>MAX((MAX(Inputs!B18+((1-0.33)*H14*(1+(1-Inputs!B22)*Inputs!B21)+0.33)*Inputs!B19+IF(ISBLANK(H17),Inputs!B24,H17)+Inputs!B25+Inputs!B39,MIN(Inputs!B27,0.08)+0.025))*Inputs!B29+Inputs!B28*Inputs!B30,H15)</f>
        <v>7.5585757106851836E-2</v>
      </c>
      <c r="I16" s="11">
        <f>MAX((MAX(Inputs!B18+((1-0.33)*I14*(1+(1-Inputs!B22)*Inputs!B21)+0.33)*Inputs!B19+IF(ISBLANK(I17),Inputs!B24,I17)+Inputs!B25+Inputs!B39,MIN(Inputs!B27,0.08)+0.025))*Inputs!B29+Inputs!B28*Inputs!B30,I15)</f>
        <v>5.013851851851852E-2</v>
      </c>
      <c r="J16" s="11">
        <f>MAX((MAX(Inputs!B18+((1-0.33)*J14*(1+(1-Inputs!B22)*Inputs!B21)+0.33)*Inputs!B19+IF(ISBLANK(J17),Inputs!B24,J17)+Inputs!B25+Inputs!B39,MIN(Inputs!B27,0.08)+0.025))*Inputs!B29+Inputs!B28*Inputs!B30,J15)</f>
        <v>5.013851851851852E-2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 t="s">
        <v>81</v>
      </c>
      <c r="F18" s="18" t="s">
        <v>82</v>
      </c>
      <c r="G18" s="18" t="s">
        <v>83</v>
      </c>
      <c r="H18" s="18" t="s">
        <v>84</v>
      </c>
      <c r="I18" s="18"/>
      <c r="J18" s="18"/>
    </row>
    <row r="19" spans="1:10" ht="40" customHeight="1" x14ac:dyDescent="0.4">
      <c r="A19" s="17" t="s">
        <v>85</v>
      </c>
      <c r="C19" s="18" t="s">
        <v>86</v>
      </c>
      <c r="D19" s="18" t="s">
        <v>87</v>
      </c>
      <c r="E19" s="18" t="s">
        <v>88</v>
      </c>
      <c r="F19" s="18" t="s">
        <v>89</v>
      </c>
      <c r="G19" s="18" t="s">
        <v>90</v>
      </c>
      <c r="H19" s="18" t="s">
        <v>91</v>
      </c>
      <c r="I19" s="18"/>
      <c r="J19" s="18"/>
    </row>
    <row r="20" spans="1:10" ht="28" customHeight="1" x14ac:dyDescent="0.4">
      <c r="A20" s="17" t="s">
        <v>92</v>
      </c>
      <c r="C20" s="18" t="s">
        <v>93</v>
      </c>
      <c r="D20" s="18" t="s">
        <v>94</v>
      </c>
      <c r="E20" s="18" t="s">
        <v>95</v>
      </c>
      <c r="F20" s="18" t="s">
        <v>96</v>
      </c>
      <c r="G20" s="18" t="s">
        <v>97</v>
      </c>
      <c r="H20" s="18" t="s">
        <v>98</v>
      </c>
      <c r="I20" s="18"/>
      <c r="J20" s="18"/>
    </row>
    <row r="21" spans="1:10" x14ac:dyDescent="0.4">
      <c r="A21" s="4" t="s">
        <v>99</v>
      </c>
      <c r="C21" s="6">
        <f t="shared" ref="C21:J21" si="0">C5*(1+C6)^1</f>
        <v>10155.549999999999</v>
      </c>
      <c r="D21" s="6">
        <f t="shared" si="0"/>
        <v>12847.299819974018</v>
      </c>
      <c r="E21" s="6">
        <f t="shared" si="0"/>
        <v>8665.020770119032</v>
      </c>
      <c r="F21" s="6">
        <f t="shared" si="0"/>
        <v>6562.7903412502656</v>
      </c>
      <c r="G21" s="6">
        <f t="shared" si="0"/>
        <v>9041.1032401276898</v>
      </c>
      <c r="H21" s="6">
        <f t="shared" si="0"/>
        <v>9666.2269168176826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100</v>
      </c>
      <c r="C22" s="6">
        <f t="shared" ref="C22:J22" si="1">C5*(1+C6)^2</f>
        <v>10257.1055</v>
      </c>
      <c r="D22" s="6">
        <f t="shared" si="1"/>
        <v>12953.469837098133</v>
      </c>
      <c r="E22" s="6">
        <f t="shared" si="1"/>
        <v>8736.6284555031671</v>
      </c>
      <c r="F22" s="6">
        <f t="shared" si="1"/>
        <v>6617.0252055934507</v>
      </c>
      <c r="G22" s="6">
        <f t="shared" si="1"/>
        <v>9115.8188690361767</v>
      </c>
      <c r="H22" s="6">
        <f t="shared" si="1"/>
        <v>9746.108564452974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101</v>
      </c>
      <c r="C23" s="6">
        <f t="shared" ref="C23:J23" si="2">C5*(1+C6)^3</f>
        <v>10359.676555</v>
      </c>
      <c r="D23" s="6">
        <f t="shared" si="2"/>
        <v>13060.517242676953</v>
      </c>
      <c r="E23" s="6">
        <f t="shared" si="2"/>
        <v>8808.8279064170256</v>
      </c>
      <c r="F23" s="6">
        <f t="shared" si="2"/>
        <v>6671.7082665660246</v>
      </c>
      <c r="G23" s="6">
        <f t="shared" si="2"/>
        <v>9191.1519475030782</v>
      </c>
      <c r="H23" s="6">
        <f t="shared" si="2"/>
        <v>9826.6503535978609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102</v>
      </c>
      <c r="C24" s="6">
        <f t="shared" ref="C24:J24" si="3">C5*(1+C6)^4</f>
        <v>10463.273320550001</v>
      </c>
      <c r="D24" s="6">
        <f t="shared" si="3"/>
        <v>13168.449287443975</v>
      </c>
      <c r="E24" s="6">
        <f t="shared" si="3"/>
        <v>8881.6240132077783</v>
      </c>
      <c r="F24" s="6">
        <f t="shared" si="3"/>
        <v>6726.8432280625357</v>
      </c>
      <c r="G24" s="6">
        <f t="shared" si="3"/>
        <v>9267.107578128247</v>
      </c>
      <c r="H24" s="6">
        <f t="shared" si="3"/>
        <v>9907.8577396582477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103</v>
      </c>
      <c r="C25" s="6">
        <f t="shared" ref="C25:J25" si="4">C5*(1+C6)^5</f>
        <v>10567.9060537555</v>
      </c>
      <c r="D25" s="6">
        <f t="shared" si="4"/>
        <v>13277.273282052736</v>
      </c>
      <c r="E25" s="6">
        <f t="shared" si="4"/>
        <v>8955.0217066364166</v>
      </c>
      <c r="F25" s="6">
        <f t="shared" si="4"/>
        <v>6782.4338245865065</v>
      </c>
      <c r="G25" s="6">
        <f t="shared" si="4"/>
        <v>9343.6909056793975</v>
      </c>
      <c r="H25" s="6">
        <f t="shared" si="4"/>
        <v>9989.7362231234965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104</v>
      </c>
      <c r="C26" s="7">
        <v>0.01</v>
      </c>
      <c r="D26" s="7"/>
      <c r="E26" s="7"/>
      <c r="F26" s="7">
        <v>5.0000000000000001E-3</v>
      </c>
      <c r="G26" s="7"/>
      <c r="H26" s="7"/>
      <c r="I26" s="7"/>
      <c r="J26" s="7"/>
    </row>
    <row r="27" spans="1:10" x14ac:dyDescent="0.4">
      <c r="A27" s="4" t="s">
        <v>105</v>
      </c>
      <c r="C27" s="11">
        <f t="shared" ref="C27:J27" si="5">IF(ISBLANK(C9),C7,C7+(C9-C7)*(0)/4)</f>
        <v>-3.1384012457015713E-2</v>
      </c>
      <c r="D27" s="11">
        <f t="shared" si="5"/>
        <v>0.03</v>
      </c>
      <c r="E27" s="11">
        <f t="shared" si="5"/>
        <v>6.0615987542984293E-2</v>
      </c>
      <c r="F27" s="11">
        <f t="shared" si="5"/>
        <v>2.615987542984297E-3</v>
      </c>
      <c r="G27" s="11">
        <f t="shared" si="5"/>
        <v>2.615987542984297E-3</v>
      </c>
      <c r="H27" s="11">
        <f t="shared" si="5"/>
        <v>0.13261598754298429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106</v>
      </c>
      <c r="C28" s="11">
        <f t="shared" ref="C28:J28" si="6">IF(ISBLANK(C9),C7,C7+(C9-C7)*(1)/4)</f>
        <v>-9.7880093427617845E-3</v>
      </c>
      <c r="D28" s="11">
        <f t="shared" si="6"/>
        <v>3.5653996885746074E-2</v>
      </c>
      <c r="E28" s="11">
        <f t="shared" si="6"/>
        <v>6.3615987542984295E-2</v>
      </c>
      <c r="F28" s="11">
        <f t="shared" si="6"/>
        <v>1.5711990657238221E-2</v>
      </c>
      <c r="G28" s="11">
        <f t="shared" si="6"/>
        <v>1.0115987542984298E-2</v>
      </c>
      <c r="H28" s="11">
        <f t="shared" si="6"/>
        <v>0.12261598754298429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107</v>
      </c>
      <c r="C29" s="11">
        <f t="shared" ref="C29:J29" si="7">IF(ISBLANK(C9),C7,C7+(C9-C7)*(2)/4)</f>
        <v>1.1807993771492144E-2</v>
      </c>
      <c r="D29" s="11">
        <f t="shared" si="7"/>
        <v>4.1307993771492149E-2</v>
      </c>
      <c r="E29" s="11">
        <f t="shared" si="7"/>
        <v>6.6615987542984298E-2</v>
      </c>
      <c r="F29" s="11">
        <f t="shared" si="7"/>
        <v>2.8807993771492145E-2</v>
      </c>
      <c r="G29" s="11">
        <f t="shared" si="7"/>
        <v>1.76159875429843E-2</v>
      </c>
      <c r="H29" s="11">
        <f t="shared" si="7"/>
        <v>0.1126159875429843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108</v>
      </c>
      <c r="C30" s="11">
        <f t="shared" ref="C30:J30" si="8">IF(ISBLANK(C9),C7,C7+(C9-C7)*(3)/4)</f>
        <v>3.3403996885746072E-2</v>
      </c>
      <c r="D30" s="11">
        <f t="shared" si="8"/>
        <v>4.6961990657238224E-2</v>
      </c>
      <c r="E30" s="11">
        <f t="shared" si="8"/>
        <v>6.9615987542984301E-2</v>
      </c>
      <c r="F30" s="11">
        <f t="shared" si="8"/>
        <v>4.1903996885746073E-2</v>
      </c>
      <c r="G30" s="11">
        <f t="shared" si="8"/>
        <v>2.5115987542984303E-2</v>
      </c>
      <c r="H30" s="11">
        <f t="shared" si="8"/>
        <v>0.10261598754298429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109</v>
      </c>
      <c r="C31" s="11">
        <f t="shared" ref="C31:J31" si="9">IF(ISBLANK(C9),C7,C7+(C9-C7)*(4)/4)</f>
        <v>5.5E-2</v>
      </c>
      <c r="D31" s="11">
        <f t="shared" si="9"/>
        <v>5.2615987542984299E-2</v>
      </c>
      <c r="E31" s="11">
        <f t="shared" si="9"/>
        <v>7.2615987542984303E-2</v>
      </c>
      <c r="F31" s="11">
        <f t="shared" si="9"/>
        <v>5.4999999999999993E-2</v>
      </c>
      <c r="G31" s="11">
        <f t="shared" si="9"/>
        <v>3.2615987542984302E-2</v>
      </c>
      <c r="H31" s="11">
        <f t="shared" si="9"/>
        <v>9.2615987542984293E-2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110</v>
      </c>
      <c r="C33" s="6">
        <f t="shared" ref="C33:J37" si="10">C21*C27</f>
        <v>-318.7219077078459</v>
      </c>
      <c r="D33" s="6">
        <f t="shared" si="10"/>
        <v>385.41899459922053</v>
      </c>
      <c r="E33" s="6">
        <f t="shared" si="10"/>
        <v>525.23879106123536</v>
      </c>
      <c r="F33" s="6">
        <f t="shared" si="10"/>
        <v>17.16817777992836</v>
      </c>
      <c r="G33" s="6">
        <f t="shared" si="10"/>
        <v>23.651413451009002</v>
      </c>
      <c r="H33" s="6">
        <f t="shared" si="10"/>
        <v>1281.8962283883532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111</v>
      </c>
      <c r="C34" s="6">
        <f t="shared" si="10"/>
        <v>-100.39664446369328</v>
      </c>
      <c r="D34" s="6">
        <f t="shared" si="10"/>
        <v>461.84297323150253</v>
      </c>
      <c r="E34" s="6">
        <f t="shared" si="10"/>
        <v>555.78924699297158</v>
      </c>
      <c r="F34" s="6">
        <f t="shared" si="10"/>
        <v>103.96663820899411</v>
      </c>
      <c r="G34" s="6">
        <f t="shared" si="10"/>
        <v>92.215510123271173</v>
      </c>
      <c r="H34" s="6">
        <f t="shared" si="10"/>
        <v>1195.0287263315383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112</v>
      </c>
      <c r="C35" s="6">
        <f t="shared" si="10"/>
        <v>122.32699623611319</v>
      </c>
      <c r="D35" s="6">
        <f t="shared" si="10"/>
        <v>539.50376491296538</v>
      </c>
      <c r="E35" s="6">
        <f t="shared" si="10"/>
        <v>586.80877008216908</v>
      </c>
      <c r="F35" s="6">
        <f t="shared" si="10"/>
        <v>192.19853018844668</v>
      </c>
      <c r="G35" s="6">
        <f t="shared" si="10"/>
        <v>161.91121821289011</v>
      </c>
      <c r="H35" s="6">
        <f t="shared" si="10"/>
        <v>1106.6379338100389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113</v>
      </c>
      <c r="C36" s="6">
        <f t="shared" si="10"/>
        <v>349.51514941436221</v>
      </c>
      <c r="D36" s="6">
        <f t="shared" si="10"/>
        <v>618.41659240725926</v>
      </c>
      <c r="E36" s="6">
        <f t="shared" si="10"/>
        <v>618.30302666494288</v>
      </c>
      <c r="F36" s="6">
        <f t="shared" si="10"/>
        <v>281.88161767963453</v>
      </c>
      <c r="G36" s="6">
        <f t="shared" si="10"/>
        <v>232.75255849176449</v>
      </c>
      <c r="H36" s="6">
        <f t="shared" si="10"/>
        <v>1016.7046063904312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114</v>
      </c>
      <c r="C37" s="6">
        <f t="shared" si="10"/>
        <v>581.23483295655251</v>
      </c>
      <c r="D37" s="6">
        <f t="shared" si="10"/>
        <v>698.59684561328504</v>
      </c>
      <c r="E37" s="6">
        <f t="shared" si="10"/>
        <v>650.27774469626411</v>
      </c>
      <c r="F37" s="6">
        <f t="shared" si="10"/>
        <v>373.03386035225782</v>
      </c>
      <c r="G37" s="6">
        <f t="shared" si="10"/>
        <v>304.75370618513494</v>
      </c>
      <c r="H37" s="6">
        <f t="shared" si="10"/>
        <v>925.20928559850472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115</v>
      </c>
      <c r="C39" s="6">
        <f>C33*(1-Inputs!B22)</f>
        <v>-232.66699262672751</v>
      </c>
      <c r="D39" s="6">
        <f>D33*(1-Inputs!B22)</f>
        <v>281.355866057431</v>
      </c>
      <c r="E39" s="6">
        <f>E33*(1-Inputs!B22)</f>
        <v>383.42431747470181</v>
      </c>
      <c r="F39" s="6">
        <f>F33*(1-Inputs!B22)</f>
        <v>12.532769779347703</v>
      </c>
      <c r="G39" s="6">
        <f>G33*(1-Inputs!B22)</f>
        <v>17.265531819236571</v>
      </c>
      <c r="H39" s="6">
        <f>H33*(1-Inputs!B22)</f>
        <v>935.78424672349774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116</v>
      </c>
      <c r="C40" s="6">
        <f>C34*(1-Inputs!B22)</f>
        <v>-73.289550458496095</v>
      </c>
      <c r="D40" s="6">
        <f>D34*(1-Inputs!B22)</f>
        <v>337.14537045899681</v>
      </c>
      <c r="E40" s="6">
        <f>E34*(1-Inputs!B22)</f>
        <v>405.72615030486924</v>
      </c>
      <c r="F40" s="6">
        <f>F34*(1-Inputs!B22)</f>
        <v>75.895645892565696</v>
      </c>
      <c r="G40" s="6">
        <f>G34*(1-Inputs!B22)</f>
        <v>67.31732238998795</v>
      </c>
      <c r="H40" s="6">
        <f>H34*(1-Inputs!B22)</f>
        <v>872.37097022202295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117</v>
      </c>
      <c r="C41" s="6">
        <f>C35*(1-Inputs!B22)</f>
        <v>89.298707252362632</v>
      </c>
      <c r="D41" s="6">
        <f>D35*(1-Inputs!B22)</f>
        <v>393.83774838646474</v>
      </c>
      <c r="E41" s="6">
        <f>E35*(1-Inputs!B22)</f>
        <v>428.37040215998343</v>
      </c>
      <c r="F41" s="6">
        <f>F35*(1-Inputs!B22)</f>
        <v>140.30492703756607</v>
      </c>
      <c r="G41" s="6">
        <f>G35*(1-Inputs!B22)</f>
        <v>118.19518929540978</v>
      </c>
      <c r="H41" s="6">
        <f>H35*(1-Inputs!B22)</f>
        <v>807.84569168132839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118</v>
      </c>
      <c r="C42" s="6">
        <f>C36*(1-Inputs!B22)</f>
        <v>255.14605907248441</v>
      </c>
      <c r="D42" s="6">
        <f>D36*(1-Inputs!B22)</f>
        <v>451.44411245729924</v>
      </c>
      <c r="E42" s="6">
        <f>E36*(1-Inputs!B22)</f>
        <v>451.36120946540831</v>
      </c>
      <c r="F42" s="6">
        <f>F36*(1-Inputs!B22)</f>
        <v>205.77358090613319</v>
      </c>
      <c r="G42" s="6">
        <f>G36*(1-Inputs!B22)</f>
        <v>169.90936769898806</v>
      </c>
      <c r="H42" s="6">
        <f>H36*(1-Inputs!B22)</f>
        <v>742.19436266501475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119</v>
      </c>
      <c r="C43" s="6">
        <f>C37*(1-Inputs!B22)</f>
        <v>424.30142805828331</v>
      </c>
      <c r="D43" s="6">
        <f>D37*(1-Inputs!B22)</f>
        <v>509.97569729769805</v>
      </c>
      <c r="E43" s="6">
        <f>E37*(1-Inputs!B22)</f>
        <v>474.70275362827277</v>
      </c>
      <c r="F43" s="6">
        <f>F37*(1-Inputs!B22)</f>
        <v>272.31471805714818</v>
      </c>
      <c r="G43" s="6">
        <f>G37*(1-Inputs!B22)</f>
        <v>222.47020551514851</v>
      </c>
      <c r="H43" s="6">
        <f>H37*(1-Inputs!B22)</f>
        <v>675.40277848690846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120</v>
      </c>
      <c r="C45" s="6">
        <f t="shared" ref="C45:J45" si="11">C21*IF(ISBLANK(C26),C12,C12+(C26-C12)*(0)/4)</f>
        <v>-406.22199999999998</v>
      </c>
      <c r="D45" s="6">
        <f t="shared" si="11"/>
        <v>64.236499099870088</v>
      </c>
      <c r="E45" s="6">
        <f t="shared" si="11"/>
        <v>0</v>
      </c>
      <c r="F45" s="6">
        <f t="shared" si="11"/>
        <v>98.441855118753978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121</v>
      </c>
      <c r="C46" s="6">
        <f t="shared" ref="C46:J46" si="12">C22*IF(ISBLANK(C26),C12,C12+(C26-C12)*(1)/4)</f>
        <v>-282.07040124999997</v>
      </c>
      <c r="D46" s="6">
        <f t="shared" si="12"/>
        <v>64.767349185490673</v>
      </c>
      <c r="E46" s="6">
        <f t="shared" si="12"/>
        <v>0</v>
      </c>
      <c r="F46" s="6">
        <f t="shared" si="12"/>
        <v>82.712815069918136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122</v>
      </c>
      <c r="C47" s="6">
        <f t="shared" ref="C47:J47" si="13">C23*IF(ISBLANK(C26),C12,C12+(C26-C12)*(2)/4)</f>
        <v>-155.39514832500001</v>
      </c>
      <c r="D47" s="6">
        <f t="shared" si="13"/>
        <v>65.302586213384771</v>
      </c>
      <c r="E47" s="6">
        <f t="shared" si="13"/>
        <v>0</v>
      </c>
      <c r="F47" s="6">
        <f t="shared" si="13"/>
        <v>66.717082665660243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123</v>
      </c>
      <c r="C48" s="6">
        <f t="shared" ref="C48:J48" si="14">C24*IF(ISBLANK(C26),C12,C12+(C26-C12)*(3)/4)</f>
        <v>-26.158183301374951</v>
      </c>
      <c r="D48" s="6">
        <f t="shared" si="14"/>
        <v>65.84224643721987</v>
      </c>
      <c r="E48" s="6">
        <f t="shared" si="14"/>
        <v>0</v>
      </c>
      <c r="F48" s="6">
        <f t="shared" si="14"/>
        <v>50.451324210469025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124</v>
      </c>
      <c r="C49" s="6">
        <f t="shared" ref="C49:J49" si="15">C25*IF(ISBLANK(C26),C12,C12+(C26-C12)*(4)/4)</f>
        <v>105.67906053755502</v>
      </c>
      <c r="D49" s="6">
        <f t="shared" si="15"/>
        <v>66.386366410263676</v>
      </c>
      <c r="E49" s="6">
        <f t="shared" si="15"/>
        <v>0</v>
      </c>
      <c r="F49" s="6">
        <f t="shared" si="15"/>
        <v>33.912169122932539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125</v>
      </c>
      <c r="C51" s="6">
        <f t="shared" ref="C51:J55" si="16">C39-C45</f>
        <v>173.55500737327247</v>
      </c>
      <c r="D51" s="6">
        <f t="shared" si="16"/>
        <v>217.11936695756091</v>
      </c>
      <c r="E51" s="6">
        <f t="shared" si="16"/>
        <v>383.42431747470181</v>
      </c>
      <c r="F51" s="6">
        <f t="shared" si="16"/>
        <v>-85.909085339406275</v>
      </c>
      <c r="G51" s="6">
        <f t="shared" si="16"/>
        <v>17.265531819236571</v>
      </c>
      <c r="H51" s="6">
        <f t="shared" si="16"/>
        <v>935.78424672349774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126</v>
      </c>
      <c r="C52" s="6">
        <f t="shared" si="16"/>
        <v>208.78085079150389</v>
      </c>
      <c r="D52" s="6">
        <f t="shared" si="16"/>
        <v>272.37802127350614</v>
      </c>
      <c r="E52" s="6">
        <f t="shared" si="16"/>
        <v>405.72615030486924</v>
      </c>
      <c r="F52" s="6">
        <f t="shared" si="16"/>
        <v>-6.8171691773524401</v>
      </c>
      <c r="G52" s="6">
        <f t="shared" si="16"/>
        <v>67.31732238998795</v>
      </c>
      <c r="H52" s="6">
        <f t="shared" si="16"/>
        <v>872.37097022202295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127</v>
      </c>
      <c r="C53" s="6">
        <f t="shared" si="16"/>
        <v>244.69385557736263</v>
      </c>
      <c r="D53" s="6">
        <f t="shared" si="16"/>
        <v>328.53516217307998</v>
      </c>
      <c r="E53" s="6">
        <f t="shared" si="16"/>
        <v>428.37040215998343</v>
      </c>
      <c r="F53" s="6">
        <f t="shared" si="16"/>
        <v>73.587844371905831</v>
      </c>
      <c r="G53" s="6">
        <f t="shared" si="16"/>
        <v>118.19518929540978</v>
      </c>
      <c r="H53" s="6">
        <f t="shared" si="16"/>
        <v>807.84569168132839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128</v>
      </c>
      <c r="C54" s="6">
        <f t="shared" si="16"/>
        <v>281.30424237385938</v>
      </c>
      <c r="D54" s="6">
        <f t="shared" si="16"/>
        <v>385.60186602007934</v>
      </c>
      <c r="E54" s="6">
        <f t="shared" si="16"/>
        <v>451.36120946540831</v>
      </c>
      <c r="F54" s="6">
        <f t="shared" si="16"/>
        <v>155.32225669566418</v>
      </c>
      <c r="G54" s="6">
        <f t="shared" si="16"/>
        <v>169.90936769898806</v>
      </c>
      <c r="H54" s="6">
        <f t="shared" si="16"/>
        <v>742.19436266501475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129</v>
      </c>
      <c r="C55" s="6">
        <f t="shared" si="16"/>
        <v>318.62236752072829</v>
      </c>
      <c r="D55" s="6">
        <f t="shared" si="16"/>
        <v>443.58933088743436</v>
      </c>
      <c r="E55" s="6">
        <f t="shared" si="16"/>
        <v>474.70275362827277</v>
      </c>
      <c r="F55" s="6">
        <f t="shared" si="16"/>
        <v>238.40254893421564</v>
      </c>
      <c r="G55" s="6">
        <f t="shared" si="16"/>
        <v>222.47020551514851</v>
      </c>
      <c r="H55" s="6">
        <f t="shared" si="16"/>
        <v>675.40277848690846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130</v>
      </c>
      <c r="C57" s="6">
        <f t="shared" ref="C57:J57" si="17">C51/((1+C16))</f>
        <v>161.35859574796416</v>
      </c>
      <c r="D57" s="6">
        <f t="shared" si="17"/>
        <v>201.52840519326944</v>
      </c>
      <c r="E57" s="6">
        <f t="shared" si="17"/>
        <v>356.47954144172559</v>
      </c>
      <c r="F57" s="6">
        <f t="shared" si="17"/>
        <v>-79.871906792897235</v>
      </c>
      <c r="G57" s="6">
        <f t="shared" si="17"/>
        <v>16.052213136103624</v>
      </c>
      <c r="H57" s="6">
        <f t="shared" si="17"/>
        <v>870.02290662587689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131</v>
      </c>
      <c r="C58" s="6">
        <f t="shared" ref="C58:J58" si="18">C52/((1+C16)*(1+C16+(C104-C16)*1/5))</f>
        <v>180.55448058256019</v>
      </c>
      <c r="D58" s="6">
        <f t="shared" si="18"/>
        <v>234.85415211607793</v>
      </c>
      <c r="E58" s="6">
        <f t="shared" si="18"/>
        <v>350.87353102231191</v>
      </c>
      <c r="F58" s="6">
        <f t="shared" si="18"/>
        <v>-5.8955140531039447</v>
      </c>
      <c r="G58" s="6">
        <f t="shared" si="18"/>
        <v>58.216278611063288</v>
      </c>
      <c r="H58" s="6">
        <f t="shared" si="18"/>
        <v>754.42976119029754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132</v>
      </c>
      <c r="C59" s="6">
        <f t="shared" ref="C59:J59" si="19">C53/((1+C16)*(1+C16+(C104-C16)*1/5)*(1+C16+(C104-C16)*2/5))</f>
        <v>196.92965179952526</v>
      </c>
      <c r="D59" s="6">
        <f t="shared" si="19"/>
        <v>263.35864290961581</v>
      </c>
      <c r="E59" s="6">
        <f t="shared" si="19"/>
        <v>344.75256413587044</v>
      </c>
      <c r="F59" s="6">
        <f t="shared" si="19"/>
        <v>59.223508226815213</v>
      </c>
      <c r="G59" s="6">
        <f t="shared" si="19"/>
        <v>95.123506135465732</v>
      </c>
      <c r="H59" s="6">
        <f t="shared" si="19"/>
        <v>650.15433426056336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133</v>
      </c>
      <c r="C60" s="6">
        <f t="shared" ref="C60:J60" si="20">C54/((1+C16)*(1+C16+(C104-C16)*1/5)*(1+C16+(C104-C16)*2/5)*(1+C16+(C104-C16)*3/5))</f>
        <v>210.78643749645704</v>
      </c>
      <c r="D60" s="6">
        <f t="shared" si="20"/>
        <v>287.60453002042919</v>
      </c>
      <c r="E60" s="6">
        <f t="shared" si="20"/>
        <v>338.21324756581998</v>
      </c>
      <c r="F60" s="6">
        <f t="shared" si="20"/>
        <v>116.38582083407523</v>
      </c>
      <c r="G60" s="6">
        <f t="shared" si="20"/>
        <v>127.31621113252505</v>
      </c>
      <c r="H60" s="6">
        <f t="shared" si="20"/>
        <v>556.13987302827013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134</v>
      </c>
      <c r="C61" s="6">
        <f t="shared" ref="C61:J61" si="21">C55/((1+C16)*(1+C16+(C104-C16)*1/5)*(1+C16+(C104-C16)*2/5)*(1+C16+(C104-C16)*3/5)*(1+C16+(C104-C16)*4/5))</f>
        <v>222.39702141598718</v>
      </c>
      <c r="D61" s="6">
        <f t="shared" si="21"/>
        <v>308.09183651644844</v>
      </c>
      <c r="E61" s="6">
        <f t="shared" si="21"/>
        <v>331.34044946805858</v>
      </c>
      <c r="F61" s="6">
        <f t="shared" si="21"/>
        <v>166.4039382844</v>
      </c>
      <c r="G61" s="6">
        <f t="shared" si="21"/>
        <v>155.28323213891377</v>
      </c>
      <c r="H61" s="6">
        <f t="shared" si="21"/>
        <v>471.4281905578971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135</v>
      </c>
    </row>
    <row r="63" spans="1:10" x14ac:dyDescent="0.4">
      <c r="A63" s="4" t="s">
        <v>136</v>
      </c>
      <c r="C63" s="6">
        <f t="shared" ref="C63:J63" si="22">C25*(1+(C6+(C13-C6)*1/5))</f>
        <v>10682.318426213969</v>
      </c>
      <c r="D63" s="6">
        <f t="shared" si="22"/>
        <v>13402.578812584145</v>
      </c>
      <c r="E63" s="6">
        <f t="shared" si="22"/>
        <v>9039.5355764674423</v>
      </c>
      <c r="F63" s="6">
        <f t="shared" si="22"/>
        <v>6853.2261232854416</v>
      </c>
      <c r="G63" s="6">
        <f t="shared" si="22"/>
        <v>9431.8728780758138</v>
      </c>
      <c r="H63" s="6">
        <f t="shared" si="22"/>
        <v>10084.015309703673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137</v>
      </c>
      <c r="C64" s="6">
        <f t="shared" ref="C64:J64" si="23">C63*(1+(C6+(C13-C6)*2/5))</f>
        <v>10806.797334964973</v>
      </c>
      <c r="D64" s="6">
        <f t="shared" si="23"/>
        <v>13544.796199638133</v>
      </c>
      <c r="E64" s="6">
        <f t="shared" si="23"/>
        <v>9135.4558577688058</v>
      </c>
      <c r="F64" s="6">
        <f t="shared" si="23"/>
        <v>6939.6534993014484</v>
      </c>
      <c r="G64" s="6">
        <f t="shared" si="23"/>
        <v>9531.9563272763407</v>
      </c>
      <c r="H64" s="6">
        <f t="shared" si="23"/>
        <v>10191.018769889404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138</v>
      </c>
      <c r="C65" s="6">
        <f t="shared" ref="C65:J65" si="24">C64*(1+(C6+(C13-C6)*3/5))</f>
        <v>10941.657502959124</v>
      </c>
      <c r="D65" s="6">
        <f t="shared" si="24"/>
        <v>13704.418863273306</v>
      </c>
      <c r="E65" s="6">
        <f t="shared" si="24"/>
        <v>9243.1153438212841</v>
      </c>
      <c r="F65" s="6">
        <f t="shared" si="24"/>
        <v>7042.2548624237088</v>
      </c>
      <c r="G65" s="6">
        <f t="shared" si="24"/>
        <v>9644.2884905801075</v>
      </c>
      <c r="H65" s="6">
        <f t="shared" si="24"/>
        <v>10311.117849803892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139</v>
      </c>
      <c r="C66" s="6">
        <f t="shared" ref="C66:J66" si="25">C65*(1+(C6+(C13-C6)*4/5))</f>
        <v>11087.242797664714</v>
      </c>
      <c r="D66" s="6">
        <f t="shared" si="25"/>
        <v>13882.006160772706</v>
      </c>
      <c r="E66" s="6">
        <f t="shared" si="25"/>
        <v>9362.8913000848097</v>
      </c>
      <c r="F66" s="6">
        <f t="shared" si="25"/>
        <v>7161.6802147246553</v>
      </c>
      <c r="G66" s="6">
        <f t="shared" si="25"/>
        <v>9769.2630076635414</v>
      </c>
      <c r="H66" s="6">
        <f t="shared" si="25"/>
        <v>10444.733406319881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140</v>
      </c>
      <c r="C67" s="6">
        <f t="shared" ref="C67:J67" si="26">C66*(1+(C6+(C13-C6)*5/5))</f>
        <v>11243.927683285465</v>
      </c>
      <c r="D67" s="6">
        <f t="shared" si="26"/>
        <v>14078.186634780666</v>
      </c>
      <c r="E67" s="6">
        <f t="shared" si="26"/>
        <v>9495.2076549446756</v>
      </c>
      <c r="F67" s="6">
        <f t="shared" si="26"/>
        <v>7298.6974614756609</v>
      </c>
      <c r="G67" s="6">
        <f t="shared" si="26"/>
        <v>9907.3222064101574</v>
      </c>
      <c r="H67" s="6">
        <f t="shared" si="26"/>
        <v>10592.338350937236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141</v>
      </c>
      <c r="C69" s="11">
        <f t="shared" ref="C69:J69" si="27">IF(ISBLANK(C9),C7,C9)</f>
        <v>5.4999999999999993E-2</v>
      </c>
      <c r="D69" s="11">
        <f t="shared" si="27"/>
        <v>5.2615987542984299E-2</v>
      </c>
      <c r="E69" s="11">
        <f t="shared" si="27"/>
        <v>7.2615987542984303E-2</v>
      </c>
      <c r="F69" s="11">
        <f t="shared" si="27"/>
        <v>5.4999999999999993E-2</v>
      </c>
      <c r="G69" s="11">
        <f t="shared" si="27"/>
        <v>3.2615987542984302E-2</v>
      </c>
      <c r="H69" s="11">
        <f t="shared" si="27"/>
        <v>9.2615987542984293E-2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142</v>
      </c>
      <c r="C70" s="11">
        <f t="shared" ref="C70:J70" si="28">IF(ISBLANK(C9),C7,C9)</f>
        <v>5.4999999999999993E-2</v>
      </c>
      <c r="D70" s="11">
        <f t="shared" si="28"/>
        <v>5.2615987542984299E-2</v>
      </c>
      <c r="E70" s="11">
        <f t="shared" si="28"/>
        <v>7.2615987542984303E-2</v>
      </c>
      <c r="F70" s="11">
        <f t="shared" si="28"/>
        <v>5.4999999999999993E-2</v>
      </c>
      <c r="G70" s="11">
        <f t="shared" si="28"/>
        <v>3.2615987542984302E-2</v>
      </c>
      <c r="H70" s="11">
        <f t="shared" si="28"/>
        <v>9.2615987542984293E-2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143</v>
      </c>
      <c r="C71" s="11">
        <f t="shared" ref="C71:J71" si="29">IF(ISBLANK(C9),C7,C9)</f>
        <v>5.4999999999999993E-2</v>
      </c>
      <c r="D71" s="11">
        <f t="shared" si="29"/>
        <v>5.2615987542984299E-2</v>
      </c>
      <c r="E71" s="11">
        <f t="shared" si="29"/>
        <v>7.2615987542984303E-2</v>
      </c>
      <c r="F71" s="11">
        <f t="shared" si="29"/>
        <v>5.4999999999999993E-2</v>
      </c>
      <c r="G71" s="11">
        <f t="shared" si="29"/>
        <v>3.2615987542984302E-2</v>
      </c>
      <c r="H71" s="11">
        <f t="shared" si="29"/>
        <v>9.2615987542984293E-2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144</v>
      </c>
      <c r="C72" s="11">
        <f t="shared" ref="C72:J72" si="30">IF(ISBLANK(C9),C7,C9)</f>
        <v>5.4999999999999993E-2</v>
      </c>
      <c r="D72" s="11">
        <f t="shared" si="30"/>
        <v>5.2615987542984299E-2</v>
      </c>
      <c r="E72" s="11">
        <f t="shared" si="30"/>
        <v>7.2615987542984303E-2</v>
      </c>
      <c r="F72" s="11">
        <f t="shared" si="30"/>
        <v>5.4999999999999993E-2</v>
      </c>
      <c r="G72" s="11">
        <f t="shared" si="30"/>
        <v>3.2615987542984302E-2</v>
      </c>
      <c r="H72" s="11">
        <f t="shared" si="30"/>
        <v>9.2615987542984293E-2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145</v>
      </c>
      <c r="C73" s="11">
        <f t="shared" ref="C73:J73" si="31">IF(ISBLANK(C9),C7,C9)</f>
        <v>5.4999999999999993E-2</v>
      </c>
      <c r="D73" s="11">
        <f t="shared" si="31"/>
        <v>5.2615987542984299E-2</v>
      </c>
      <c r="E73" s="11">
        <f t="shared" si="31"/>
        <v>7.2615987542984303E-2</v>
      </c>
      <c r="F73" s="11">
        <f t="shared" si="31"/>
        <v>5.4999999999999993E-2</v>
      </c>
      <c r="G73" s="11">
        <f t="shared" si="31"/>
        <v>3.2615987542984302E-2</v>
      </c>
      <c r="H73" s="11">
        <f t="shared" si="31"/>
        <v>9.2615987542984293E-2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146</v>
      </c>
      <c r="C75" s="6">
        <f t="shared" ref="C75:J79" si="32">C63*C69</f>
        <v>587.52751344176829</v>
      </c>
      <c r="D75" s="6">
        <f t="shared" si="32"/>
        <v>705.18991984679269</v>
      </c>
      <c r="E75" s="6">
        <f t="shared" si="32"/>
        <v>656.41480281512327</v>
      </c>
      <c r="F75" s="6">
        <f t="shared" si="32"/>
        <v>376.92743678069922</v>
      </c>
      <c r="G75" s="6">
        <f t="shared" si="32"/>
        <v>307.62984829833226</v>
      </c>
      <c r="H75" s="6">
        <f t="shared" si="32"/>
        <v>933.9410363067783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147</v>
      </c>
      <c r="C76" s="6">
        <f t="shared" si="32"/>
        <v>594.37385342307346</v>
      </c>
      <c r="D76" s="6">
        <f t="shared" si="32"/>
        <v>712.67282811242103</v>
      </c>
      <c r="E76" s="6">
        <f t="shared" si="32"/>
        <v>663.38014876722264</v>
      </c>
      <c r="F76" s="6">
        <f t="shared" si="32"/>
        <v>381.6809424615796</v>
      </c>
      <c r="G76" s="6">
        <f t="shared" si="32"/>
        <v>310.89416883071556</v>
      </c>
      <c r="H76" s="6">
        <f t="shared" si="32"/>
        <v>943.85126744239619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148</v>
      </c>
      <c r="C77" s="6">
        <f t="shared" si="32"/>
        <v>601.79116266275173</v>
      </c>
      <c r="D77" s="6">
        <f t="shared" si="32"/>
        <v>721.07153219382735</v>
      </c>
      <c r="E77" s="6">
        <f t="shared" si="32"/>
        <v>671.19794866529344</v>
      </c>
      <c r="F77" s="6">
        <f t="shared" si="32"/>
        <v>387.32401743330394</v>
      </c>
      <c r="G77" s="6">
        <f t="shared" si="32"/>
        <v>314.55799326970765</v>
      </c>
      <c r="H77" s="6">
        <f t="shared" si="32"/>
        <v>954.97436233168025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149</v>
      </c>
      <c r="C78" s="6">
        <f t="shared" si="32"/>
        <v>609.79835387155924</v>
      </c>
      <c r="D78" s="6">
        <f t="shared" si="32"/>
        <v>730.41546322684803</v>
      </c>
      <c r="E78" s="6">
        <f t="shared" si="32"/>
        <v>679.89559801327459</v>
      </c>
      <c r="F78" s="6">
        <f t="shared" si="32"/>
        <v>393.89241180985601</v>
      </c>
      <c r="G78" s="6">
        <f t="shared" si="32"/>
        <v>318.63416056209144</v>
      </c>
      <c r="H78" s="6">
        <f t="shared" si="32"/>
        <v>967.349299049514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150</v>
      </c>
      <c r="C79" s="6">
        <f t="shared" si="32"/>
        <v>618.41602258070054</v>
      </c>
      <c r="D79" s="6">
        <f t="shared" si="32"/>
        <v>740.7376926034276</v>
      </c>
      <c r="E79" s="6">
        <f t="shared" si="32"/>
        <v>689.50388078951175</v>
      </c>
      <c r="F79" s="6">
        <f t="shared" si="32"/>
        <v>401.42836038116133</v>
      </c>
      <c r="G79" s="6">
        <f t="shared" si="32"/>
        <v>323.13709766860546</v>
      </c>
      <c r="H79" s="6">
        <f t="shared" si="32"/>
        <v>981.0198767614778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151</v>
      </c>
      <c r="C81" s="6">
        <f>C75*(1-Inputs!B22)</f>
        <v>428.89508481249084</v>
      </c>
      <c r="D81" s="6">
        <f>D75*(1-Inputs!B22)</f>
        <v>514.78864148815865</v>
      </c>
      <c r="E81" s="6">
        <f>E75*(1-Inputs!B22)</f>
        <v>479.18280605503998</v>
      </c>
      <c r="F81" s="6">
        <f>F75*(1-Inputs!B22)</f>
        <v>275.15702884991043</v>
      </c>
      <c r="G81" s="6">
        <f>G75*(1-Inputs!B22)</f>
        <v>224.56978925778256</v>
      </c>
      <c r="H81" s="6">
        <f>H75*(1-Inputs!B22)</f>
        <v>681.7769565039481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152</v>
      </c>
      <c r="C82" s="6">
        <f>C76*(1-Inputs!B22)</f>
        <v>433.8929129988436</v>
      </c>
      <c r="D82" s="6">
        <f>D76*(1-Inputs!B22)</f>
        <v>520.25116452206737</v>
      </c>
      <c r="E82" s="6">
        <f>E76*(1-Inputs!B22)</f>
        <v>484.26750860007252</v>
      </c>
      <c r="F82" s="6">
        <f>F76*(1-Inputs!B22)</f>
        <v>278.62708799695309</v>
      </c>
      <c r="G82" s="6">
        <f>G76*(1-Inputs!B22)</f>
        <v>226.95274324642236</v>
      </c>
      <c r="H82" s="6">
        <f>H76*(1-Inputs!B22)</f>
        <v>689.01142523294925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153</v>
      </c>
      <c r="C83" s="6">
        <f>C77*(1-Inputs!B22)</f>
        <v>439.30754874380875</v>
      </c>
      <c r="D83" s="6">
        <f>D77*(1-Inputs!B22)</f>
        <v>526.38221850149398</v>
      </c>
      <c r="E83" s="6">
        <f>E77*(1-Inputs!B22)</f>
        <v>489.97450252566421</v>
      </c>
      <c r="F83" s="6">
        <f>F77*(1-Inputs!B22)</f>
        <v>282.74653272631184</v>
      </c>
      <c r="G83" s="6">
        <f>G77*(1-Inputs!B22)</f>
        <v>229.62733508688657</v>
      </c>
      <c r="H83" s="6">
        <f>H77*(1-Inputs!B22)</f>
        <v>697.13128450212662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154</v>
      </c>
      <c r="C84" s="6">
        <f>C78*(1-Inputs!B22)</f>
        <v>445.15279832623821</v>
      </c>
      <c r="D84" s="6">
        <f>D78*(1-Inputs!B22)</f>
        <v>533.20328815559901</v>
      </c>
      <c r="E84" s="6">
        <f>E78*(1-Inputs!B22)</f>
        <v>496.32378654969045</v>
      </c>
      <c r="F84" s="6">
        <f>F78*(1-Inputs!B22)</f>
        <v>287.54146062119486</v>
      </c>
      <c r="G84" s="6">
        <f>G78*(1-Inputs!B22)</f>
        <v>232.60293721032676</v>
      </c>
      <c r="H84" s="6">
        <f>H78*(1-Inputs!B22)</f>
        <v>706.16498830614523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155</v>
      </c>
      <c r="C85" s="6">
        <f>C79*(1-Inputs!B22)</f>
        <v>451.44369648391137</v>
      </c>
      <c r="D85" s="6">
        <f>D79*(1-Inputs!B22)</f>
        <v>540.73851560050218</v>
      </c>
      <c r="E85" s="6">
        <f>E79*(1-Inputs!B22)</f>
        <v>503.33783297634358</v>
      </c>
      <c r="F85" s="6">
        <f>F79*(1-Inputs!B22)</f>
        <v>293.04270307824777</v>
      </c>
      <c r="G85" s="6">
        <f>G79*(1-Inputs!B22)</f>
        <v>235.89008129808198</v>
      </c>
      <c r="H85" s="6">
        <f>H79*(1-Inputs!B22)</f>
        <v>716.14451003587874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156</v>
      </c>
      <c r="C87" s="6">
        <f t="shared" ref="C87:J87" si="33">C63*MAX(IF(ISBLANK(C26),C12,C26),0)</f>
        <v>106.82318426213969</v>
      </c>
      <c r="D87" s="6">
        <f t="shared" si="33"/>
        <v>67.012894062920722</v>
      </c>
      <c r="E87" s="6">
        <f t="shared" si="33"/>
        <v>0</v>
      </c>
      <c r="F87" s="6">
        <f t="shared" si="33"/>
        <v>34.266130616427212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157</v>
      </c>
      <c r="C88" s="6">
        <f t="shared" ref="C88:J88" si="34">C64*MAX(IF(ISBLANK(C26),C12,C26),0)</f>
        <v>108.06797334964973</v>
      </c>
      <c r="D88" s="6">
        <f t="shared" si="34"/>
        <v>67.723980998190669</v>
      </c>
      <c r="E88" s="6">
        <f t="shared" si="34"/>
        <v>0</v>
      </c>
      <c r="F88" s="6">
        <f t="shared" si="34"/>
        <v>34.698267496507242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158</v>
      </c>
      <c r="C89" s="6">
        <f t="shared" ref="C89:J89" si="35">C65*MAX(IF(ISBLANK(C26),C12,C26),0)</f>
        <v>109.41657502959124</v>
      </c>
      <c r="D89" s="6">
        <f t="shared" si="35"/>
        <v>68.522094316366534</v>
      </c>
      <c r="E89" s="6">
        <f t="shared" si="35"/>
        <v>0</v>
      </c>
      <c r="F89" s="6">
        <f t="shared" si="35"/>
        <v>35.211274312118547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159</v>
      </c>
      <c r="C90" s="6">
        <f t="shared" ref="C90:J90" si="36">C66*MAX(IF(ISBLANK(C26),C12,C26),0)</f>
        <v>110.87242797664715</v>
      </c>
      <c r="D90" s="6">
        <f t="shared" si="36"/>
        <v>69.410030803863535</v>
      </c>
      <c r="E90" s="6">
        <f t="shared" si="36"/>
        <v>0</v>
      </c>
      <c r="F90" s="6">
        <f t="shared" si="36"/>
        <v>35.80840107362328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160</v>
      </c>
      <c r="C91" s="6">
        <f t="shared" ref="C91:J91" si="37">C67*MAX(IF(ISBLANK(C26),C12,C26),0)</f>
        <v>112.43927683285465</v>
      </c>
      <c r="D91" s="6">
        <f t="shared" si="37"/>
        <v>70.390933173903335</v>
      </c>
      <c r="E91" s="6">
        <f t="shared" si="37"/>
        <v>0</v>
      </c>
      <c r="F91" s="6">
        <f t="shared" si="37"/>
        <v>36.493487307378302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161</v>
      </c>
      <c r="C93" s="6">
        <f t="shared" ref="C93:J97" si="38">C81-C87</f>
        <v>322.07190055035113</v>
      </c>
      <c r="D93" s="6">
        <f t="shared" si="38"/>
        <v>447.77574742523791</v>
      </c>
      <c r="E93" s="6">
        <f t="shared" si="38"/>
        <v>479.18280605503998</v>
      </c>
      <c r="F93" s="6">
        <f t="shared" si="38"/>
        <v>240.89089823348323</v>
      </c>
      <c r="G93" s="6">
        <f t="shared" si="38"/>
        <v>224.56978925778256</v>
      </c>
      <c r="H93" s="6">
        <f t="shared" si="38"/>
        <v>681.7769565039481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162</v>
      </c>
      <c r="C94" s="6">
        <f t="shared" si="38"/>
        <v>325.82493964919388</v>
      </c>
      <c r="D94" s="6">
        <f t="shared" si="38"/>
        <v>452.52718352387672</v>
      </c>
      <c r="E94" s="6">
        <f t="shared" si="38"/>
        <v>484.26750860007252</v>
      </c>
      <c r="F94" s="6">
        <f t="shared" si="38"/>
        <v>243.92882050044585</v>
      </c>
      <c r="G94" s="6">
        <f t="shared" si="38"/>
        <v>226.95274324642236</v>
      </c>
      <c r="H94" s="6">
        <f t="shared" si="38"/>
        <v>689.01142523294925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163</v>
      </c>
      <c r="C95" s="6">
        <f t="shared" si="38"/>
        <v>329.89097371421752</v>
      </c>
      <c r="D95" s="6">
        <f t="shared" si="38"/>
        <v>457.86012418512746</v>
      </c>
      <c r="E95" s="6">
        <f t="shared" si="38"/>
        <v>489.97450252566421</v>
      </c>
      <c r="F95" s="6">
        <f t="shared" si="38"/>
        <v>247.53525841419329</v>
      </c>
      <c r="G95" s="6">
        <f t="shared" si="38"/>
        <v>229.62733508688657</v>
      </c>
      <c r="H95" s="6">
        <f t="shared" si="38"/>
        <v>697.13128450212662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164</v>
      </c>
      <c r="C96" s="6">
        <f t="shared" si="38"/>
        <v>334.28037034959107</v>
      </c>
      <c r="D96" s="6">
        <f t="shared" si="38"/>
        <v>463.79325735173546</v>
      </c>
      <c r="E96" s="6">
        <f t="shared" si="38"/>
        <v>496.32378654969045</v>
      </c>
      <c r="F96" s="6">
        <f t="shared" si="38"/>
        <v>251.73305954757157</v>
      </c>
      <c r="G96" s="6">
        <f t="shared" si="38"/>
        <v>232.60293721032676</v>
      </c>
      <c r="H96" s="6">
        <f t="shared" si="38"/>
        <v>706.16498830614523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165</v>
      </c>
      <c r="C97" s="6">
        <f t="shared" si="38"/>
        <v>339.00441965105671</v>
      </c>
      <c r="D97" s="6">
        <f t="shared" si="38"/>
        <v>470.34758242659882</v>
      </c>
      <c r="E97" s="6">
        <f t="shared" si="38"/>
        <v>503.33783297634358</v>
      </c>
      <c r="F97" s="6">
        <f t="shared" si="38"/>
        <v>256.54921577086947</v>
      </c>
      <c r="G97" s="6">
        <f t="shared" si="38"/>
        <v>235.89008129808198</v>
      </c>
      <c r="H97" s="6">
        <f t="shared" si="38"/>
        <v>716.14451003587874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166</v>
      </c>
      <c r="C99" s="6">
        <f t="shared" ref="C99:J99" si="39">C93/(((1+C16)*(1+C16+(C104-C16)*1/5)*(1+C16+(C104-C16)*2/5)*(1+C16+(C104-C16)*3/5)*(1+C16+(C104-C16)*4/5))*(1+C104)^1)</f>
        <v>209.50768437748877</v>
      </c>
      <c r="D99" s="6">
        <f t="shared" si="39"/>
        <v>289.83717033662185</v>
      </c>
      <c r="E99" s="6">
        <f t="shared" si="39"/>
        <v>311.70828600244147</v>
      </c>
      <c r="F99" s="6">
        <f t="shared" si="39"/>
        <v>156.69946428195271</v>
      </c>
      <c r="G99" s="6">
        <f t="shared" si="39"/>
        <v>146.08258729849442</v>
      </c>
      <c r="H99" s="6">
        <f t="shared" si="39"/>
        <v>443.49572618721373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167</v>
      </c>
      <c r="C100" s="6">
        <f t="shared" ref="C100:J100" si="40">C94/(((1+C16)*(1+C16+(C104-C16)*1/5)*(1+C16+(C104-C16)*2/5)*(1+C16+(C104-C16)*3/5)*(1+C16+(C104-C16)*4/5))*(1+C104)^2)</f>
        <v>197.52672301016469</v>
      </c>
      <c r="D100" s="6">
        <f t="shared" si="40"/>
        <v>272.98111340899766</v>
      </c>
      <c r="E100" s="6">
        <f t="shared" si="40"/>
        <v>293.58027085667175</v>
      </c>
      <c r="F100" s="6">
        <f t="shared" si="40"/>
        <v>147.8783687125497</v>
      </c>
      <c r="G100" s="6">
        <f t="shared" si="40"/>
        <v>137.58686397640219</v>
      </c>
      <c r="H100" s="6">
        <f t="shared" si="40"/>
        <v>417.70335042296165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168</v>
      </c>
      <c r="C101" s="6">
        <f t="shared" ref="C101:J101" si="41">C95/(((1+C16)*(1+C16+(C104-C16)*1/5)*(1+C16+(C104-C16)*2/5)*(1+C16+(C104-C16)*3/5)*(1+C16+(C104-C16)*4/5))*(1+C104)^3)</f>
        <v>186.38303644205774</v>
      </c>
      <c r="D101" s="6">
        <f t="shared" si="41"/>
        <v>257.40392477473233</v>
      </c>
      <c r="E101" s="6">
        <f t="shared" si="41"/>
        <v>276.82762741799797</v>
      </c>
      <c r="F101" s="6">
        <f t="shared" si="41"/>
        <v>139.85339632139926</v>
      </c>
      <c r="G101" s="6">
        <f t="shared" si="41"/>
        <v>129.73571080689214</v>
      </c>
      <c r="H101" s="6">
        <f t="shared" si="41"/>
        <v>393.86784106684564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169</v>
      </c>
      <c r="C102" s="6">
        <f t="shared" ref="C102:J102" si="42">C96/(((1+C16)*(1+C16+(C104-C16)*1/5)*(1+C16+(C104-C16)*2/5)*(1+C16+(C104-C16)*3/5)*(1+C16+(C104-C16)*4/5))*(1+C104)^4)</f>
        <v>176.01157907599867</v>
      </c>
      <c r="D102" s="6">
        <f t="shared" si="42"/>
        <v>242.99715446837848</v>
      </c>
      <c r="E102" s="6">
        <f t="shared" si="42"/>
        <v>261.3337220855355</v>
      </c>
      <c r="F102" s="6">
        <f t="shared" si="42"/>
        <v>132.54721858260223</v>
      </c>
      <c r="G102" s="6">
        <f t="shared" si="42"/>
        <v>122.4744672661724</v>
      </c>
      <c r="H102" s="6">
        <f t="shared" si="42"/>
        <v>371.8232528878757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170</v>
      </c>
      <c r="C103" s="6">
        <f t="shared" ref="C103:J103" si="43">C97/(((1+C16)*(1+C16+(C104-C16)*1/5)*(1+C16+(C104-C16)*2/5)*(1+C16+(C104-C16)*3/5)*(1+C16+(C104-C16)*4/5))*(1+C104)^5)</f>
        <v>166.35280926383058</v>
      </c>
      <c r="D103" s="6">
        <f t="shared" si="43"/>
        <v>229.6625000533499</v>
      </c>
      <c r="E103" s="6">
        <f t="shared" si="43"/>
        <v>246.9928345198862</v>
      </c>
      <c r="F103" s="6">
        <f t="shared" si="43"/>
        <v>125.8912282083097</v>
      </c>
      <c r="G103" s="6">
        <f t="shared" si="43"/>
        <v>115.75358734791942</v>
      </c>
      <c r="H103" s="6">
        <f t="shared" si="43"/>
        <v>351.41916794466368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171</v>
      </c>
      <c r="C104" s="11">
        <f>MAX((Inputs!B18+((1+(1-Inputs!B22)*(Inputs!B36/(1-Inputs!B36)))/(1+(1-Inputs!B22)*0.25))*Inputs!B19+IF(ISBLANK(C17),Inputs!B24,C17)+Inputs!B25+Inputs!B39)*(1-Inputs!B36)+Inputs!B38*Inputs!B36,C15)</f>
        <v>7.3014486689961938E-2</v>
      </c>
      <c r="D104" s="11">
        <f>MAX((Inputs!B18+((1+(1-Inputs!B22)*(Inputs!B36/(1-Inputs!B36)))/(1+(1-Inputs!B22)*0.25))*Inputs!B19+IF(ISBLANK(D17),Inputs!B24,D17)+Inputs!B25+Inputs!B39)*(1-Inputs!B36)+Inputs!B38*Inputs!B36,D15)</f>
        <v>7.3014486689961938E-2</v>
      </c>
      <c r="E104" s="11">
        <f>MAX((Inputs!B18+((1+(1-Inputs!B22)*(Inputs!B36/(1-Inputs!B36)))/(1+(1-Inputs!B22)*0.25))*Inputs!B19+IF(ISBLANK(E17),Inputs!B24,E17)+Inputs!B25+Inputs!B39)*(1-Inputs!B36)+Inputs!B38*Inputs!B36,E15)</f>
        <v>7.3014486689961938E-2</v>
      </c>
      <c r="F104" s="11">
        <f>MAX((Inputs!B18+((1+(1-Inputs!B22)*(Inputs!B36/(1-Inputs!B36)))/(1+(1-Inputs!B22)*0.25))*Inputs!B19+IF(ISBLANK(F17),Inputs!B24,F17)+Inputs!B25+Inputs!B39)*(1-Inputs!B36)+Inputs!B38*Inputs!B36,F15)</f>
        <v>7.3014486689961938E-2</v>
      </c>
      <c r="G104" s="11">
        <f>MAX((Inputs!B18+((1+(1-Inputs!B22)*(Inputs!B36/(1-Inputs!B36)))/(1+(1-Inputs!B22)*0.25))*Inputs!B19+IF(ISBLANK(G17),Inputs!B24,G17)+Inputs!B25+Inputs!B39)*(1-Inputs!B36)+Inputs!B38*Inputs!B36,G15)</f>
        <v>7.3014486689961938E-2</v>
      </c>
      <c r="H104" s="11">
        <f>MAX((Inputs!B18+((1+(1-Inputs!B22)*(Inputs!B36/(1-Inputs!B36)))/(1+(1-Inputs!B22)*0.25))*Inputs!B19+IF(ISBLANK(H17),Inputs!B24,H17)+Inputs!B25+Inputs!B39)*(1-Inputs!B36)+Inputs!B38*Inputs!B36,H15)</f>
        <v>7.3014486689961938E-2</v>
      </c>
      <c r="I104" s="11">
        <f>MAX((Inputs!B18+((1+(1-Inputs!B22)*(Inputs!B36/(1-Inputs!B36)))/(1+(1-Inputs!B22)*0.25))*Inputs!B19+IF(ISBLANK(I17),Inputs!B24,I17)+Inputs!B25+Inputs!B39)*(1-Inputs!B36)+Inputs!B38*Inputs!B36,I15)</f>
        <v>7.3014486689961938E-2</v>
      </c>
      <c r="J104" s="11">
        <f>MAX((Inputs!B18+((1+(1-Inputs!B22)*(Inputs!B36/(1-Inputs!B36)))/(1+(1-Inputs!B22)*0.25))*Inputs!B19+IF(ISBLANK(J17),Inputs!B24,J17)+Inputs!B25+Inputs!B39)*(1-Inputs!B36)+Inputs!B38*Inputs!B36,J15)</f>
        <v>7.3014486689961938E-2</v>
      </c>
    </row>
    <row r="105" spans="1:11" x14ac:dyDescent="0.4">
      <c r="A105" s="4" t="s">
        <v>172</v>
      </c>
      <c r="C105" s="6">
        <f t="shared" ref="C105:J105" si="44">SUM(C57:C61,C99:C103)</f>
        <v>1907.8080192120342</v>
      </c>
      <c r="D105" s="6">
        <f t="shared" si="44"/>
        <v>2588.3194297979212</v>
      </c>
      <c r="E105" s="6">
        <f t="shared" si="44"/>
        <v>3112.1020745163196</v>
      </c>
      <c r="F105" s="6">
        <f t="shared" si="44"/>
        <v>959.1155226061029</v>
      </c>
      <c r="G105" s="6">
        <f t="shared" si="44"/>
        <v>1103.624657849952</v>
      </c>
      <c r="H105" s="6">
        <f t="shared" si="44"/>
        <v>5280.4844041724655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173</v>
      </c>
      <c r="C106" s="6">
        <f t="shared" ref="C106:J106" si="45">IF(C5=0,0,C97*(1+C13)/(C104-C13))</f>
        <v>5838.6666892881594</v>
      </c>
      <c r="D106" s="6">
        <f t="shared" si="45"/>
        <v>8100.7874904053297</v>
      </c>
      <c r="E106" s="6">
        <f t="shared" si="45"/>
        <v>8668.9779498522348</v>
      </c>
      <c r="F106" s="6">
        <f t="shared" si="45"/>
        <v>4852.3651707813942</v>
      </c>
      <c r="G106" s="6">
        <f t="shared" si="45"/>
        <v>4062.7303957460185</v>
      </c>
      <c r="H106" s="6">
        <f t="shared" si="45"/>
        <v>12334.143312252363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174</v>
      </c>
      <c r="C107" s="6">
        <f t="shared" ref="C107:J107" si="46">C106/(((1+C16)*(1+C16+(C104-C16)*1/5)*(1+C16+(C104-C16)*2/5)*(1+C16+(C104-C16)*3/5)*(1+C16+(C104-C16)*4/5))*(1+C104)^5)</f>
        <v>2865.0912785089608</v>
      </c>
      <c r="D107" s="6">
        <f t="shared" si="46"/>
        <v>3955.4728820950759</v>
      </c>
      <c r="E107" s="6">
        <f t="shared" si="46"/>
        <v>4253.9529038839974</v>
      </c>
      <c r="F107" s="6">
        <f t="shared" si="46"/>
        <v>2381.103404387241</v>
      </c>
      <c r="G107" s="6">
        <f t="shared" si="46"/>
        <v>1993.6218392360943</v>
      </c>
      <c r="H107" s="6">
        <f t="shared" si="46"/>
        <v>6052.4856636613858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175</v>
      </c>
      <c r="C109" s="20">
        <f t="shared" ref="C109:J109" si="47">C105+C107</f>
        <v>4772.8992977209946</v>
      </c>
      <c r="D109" s="20">
        <f t="shared" si="47"/>
        <v>6543.7923118929975</v>
      </c>
      <c r="E109" s="20">
        <f t="shared" si="47"/>
        <v>7366.0549784003169</v>
      </c>
      <c r="F109" s="20">
        <f t="shared" si="47"/>
        <v>3340.2189269933438</v>
      </c>
      <c r="G109" s="20">
        <f t="shared" si="47"/>
        <v>3097.2464970860465</v>
      </c>
      <c r="H109" s="20">
        <f t="shared" si="47"/>
        <v>11332.970067833852</v>
      </c>
      <c r="I109" s="20">
        <f t="shared" si="47"/>
        <v>0</v>
      </c>
      <c r="J109" s="20">
        <f t="shared" si="47"/>
        <v>0</v>
      </c>
      <c r="K109" s="20">
        <f>SUM(C109:J109)</f>
        <v>36453.182079927552</v>
      </c>
    </row>
    <row r="110" spans="1:11" x14ac:dyDescent="0.4">
      <c r="A110" s="4" t="s">
        <v>176</v>
      </c>
      <c r="K110" s="11">
        <f>IFERROR(SUMPRODUCT(C109:J109,C16:J16)/SUM(C109:J109),0)</f>
        <v>7.5904900627533661E-2</v>
      </c>
    </row>
    <row r="111" spans="1:11" x14ac:dyDescent="0.4">
      <c r="A111" s="4" t="s">
        <v>177</v>
      </c>
      <c r="K111" s="5">
        <v>12500</v>
      </c>
    </row>
    <row r="112" spans="1:11" x14ac:dyDescent="0.4">
      <c r="A112" s="4" t="s">
        <v>178</v>
      </c>
      <c r="K112" s="5">
        <v>800</v>
      </c>
    </row>
    <row r="113" spans="1:11" x14ac:dyDescent="0.4">
      <c r="A113" s="4" t="s">
        <v>179</v>
      </c>
      <c r="K113" s="5">
        <v>-5719.9383623270069</v>
      </c>
    </row>
    <row r="114" spans="1:11" x14ac:dyDescent="0.4">
      <c r="A114" s="4" t="s">
        <v>180</v>
      </c>
      <c r="K114" s="5">
        <v>0</v>
      </c>
    </row>
    <row r="115" spans="1:11" x14ac:dyDescent="0.4">
      <c r="A115" s="4" t="s">
        <v>181</v>
      </c>
      <c r="K115" s="5">
        <v>0</v>
      </c>
    </row>
    <row r="116" spans="1:11" x14ac:dyDescent="0.4">
      <c r="A116" s="4" t="s">
        <v>182</v>
      </c>
      <c r="K116" s="5">
        <v>1350</v>
      </c>
    </row>
    <row r="117" spans="1:11" x14ac:dyDescent="0.4">
      <c r="A117" s="4" t="s">
        <v>183</v>
      </c>
      <c r="K117" s="5">
        <v>0</v>
      </c>
    </row>
    <row r="118" spans="1:11" x14ac:dyDescent="0.4">
      <c r="A118" s="4" t="s">
        <v>184</v>
      </c>
      <c r="K118" s="5">
        <v>0</v>
      </c>
    </row>
    <row r="119" spans="1:11" x14ac:dyDescent="0.4">
      <c r="A119" s="4" t="s">
        <v>185</v>
      </c>
      <c r="K119" s="20">
        <f>K109+K113+K114+K115+K116+K117+K118-K111-K112</f>
        <v>18783.243717600544</v>
      </c>
    </row>
    <row r="120" spans="1:11" x14ac:dyDescent="0.4">
      <c r="A120" s="4" t="s">
        <v>186</v>
      </c>
      <c r="K120" s="6">
        <f>Inputs!B11</f>
        <v>890</v>
      </c>
    </row>
    <row r="122" spans="1:11" ht="15.9" customHeight="1" x14ac:dyDescent="0.45">
      <c r="A122" s="4" t="s">
        <v>187</v>
      </c>
      <c r="K122" s="21">
        <f>K119/K120</f>
        <v>21.104768222023083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23046875" defaultRowHeight="14.6" x14ac:dyDescent="0.4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45" customHeight="1" x14ac:dyDescent="0.5">
      <c r="A1" s="1" t="s">
        <v>190</v>
      </c>
    </row>
    <row r="2" spans="1:5" x14ac:dyDescent="0.4">
      <c r="A2" s="2" t="s">
        <v>191</v>
      </c>
    </row>
    <row r="3" spans="1:5" x14ac:dyDescent="0.4">
      <c r="A3" s="2" t="s">
        <v>192</v>
      </c>
    </row>
    <row r="4" spans="1:5" x14ac:dyDescent="0.4">
      <c r="A4" s="22" t="s">
        <v>193</v>
      </c>
      <c r="B4" s="22" t="s">
        <v>194</v>
      </c>
      <c r="C4" s="22" t="s">
        <v>195</v>
      </c>
      <c r="D4" s="22" t="s">
        <v>196</v>
      </c>
      <c r="E4" s="22" t="s">
        <v>197</v>
      </c>
    </row>
    <row r="5" spans="1:5" ht="30" customHeight="1" x14ac:dyDescent="0.4">
      <c r="A5" s="23" t="s">
        <v>198</v>
      </c>
      <c r="B5" s="5">
        <v>1500</v>
      </c>
      <c r="C5" s="7">
        <v>0.9</v>
      </c>
      <c r="D5" s="6">
        <f>IF(ISNUMBER(B5),B5*C5,"")</f>
        <v>1350</v>
      </c>
      <c r="E5" s="24" t="s">
        <v>199</v>
      </c>
    </row>
    <row r="6" spans="1:5" ht="30" customHeight="1" x14ac:dyDescent="0.4">
      <c r="A6" s="23"/>
      <c r="B6" s="5"/>
      <c r="C6" s="7"/>
      <c r="D6" s="6" t="str">
        <f>IF(ISNUMBER(B6),B6*C6,"")</f>
        <v/>
      </c>
      <c r="E6" s="24"/>
    </row>
    <row r="7" spans="1:5" ht="30" customHeight="1" x14ac:dyDescent="0.4">
      <c r="A7" s="23"/>
      <c r="B7" s="5"/>
      <c r="C7" s="7"/>
      <c r="D7" s="6" t="str">
        <f>IF(ISNUMBER(B7),B7*C7,"")</f>
        <v/>
      </c>
      <c r="E7" s="24"/>
    </row>
    <row r="8" spans="1:5" ht="30" customHeight="1" x14ac:dyDescent="0.4">
      <c r="A8" s="23"/>
      <c r="B8" s="5"/>
      <c r="C8" s="7"/>
      <c r="D8" s="6" t="str">
        <f>IF(ISNUMBER(B8),B8*C8,"")</f>
        <v/>
      </c>
      <c r="E8" s="24"/>
    </row>
    <row r="9" spans="1:5" ht="30" customHeight="1" x14ac:dyDescent="0.4">
      <c r="A9" s="23"/>
      <c r="B9" s="5"/>
      <c r="C9" s="7"/>
      <c r="D9" s="6" t="str">
        <f>IF(ISNUMBER(B9),B9*C9,"")</f>
        <v/>
      </c>
      <c r="E9" s="24"/>
    </row>
    <row r="11" spans="1:5" x14ac:dyDescent="0.4">
      <c r="C11" s="4" t="s">
        <v>200</v>
      </c>
      <c r="D11" s="20">
        <f>SUM(D5:D9)</f>
        <v>1350</v>
      </c>
    </row>
    <row r="12" spans="1:5" x14ac:dyDescent="0.4">
      <c r="C12" s="4" t="s">
        <v>201</v>
      </c>
      <c r="D12" s="20">
        <f>IF(Inputs!B11&gt;0,D11/Inputs!B11,"")</f>
        <v>1.5168539325842696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23046875" defaultRowHeight="14.6" x14ac:dyDescent="0.4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45" customHeight="1" x14ac:dyDescent="0.5">
      <c r="A1" s="1" t="s">
        <v>202</v>
      </c>
    </row>
    <row r="2" spans="1:12" x14ac:dyDescent="0.4">
      <c r="A2" s="2" t="s">
        <v>203</v>
      </c>
    </row>
    <row r="4" spans="1:12" x14ac:dyDescent="0.4">
      <c r="A4" s="3" t="s">
        <v>204</v>
      </c>
    </row>
    <row r="5" spans="1:12" ht="29.15" customHeight="1" x14ac:dyDescent="0.4">
      <c r="A5" s="25" t="s">
        <v>205</v>
      </c>
      <c r="B5" s="25" t="s">
        <v>206</v>
      </c>
      <c r="C5" s="25" t="s">
        <v>207</v>
      </c>
      <c r="D5" s="25" t="s">
        <v>208</v>
      </c>
      <c r="E5" s="25" t="s">
        <v>209</v>
      </c>
      <c r="F5" s="25" t="s">
        <v>210</v>
      </c>
      <c r="G5" s="25" t="s">
        <v>211</v>
      </c>
      <c r="H5" s="25" t="s">
        <v>212</v>
      </c>
      <c r="I5" s="25" t="s">
        <v>213</v>
      </c>
      <c r="J5" s="25" t="s">
        <v>214</v>
      </c>
      <c r="K5" s="25" t="s">
        <v>215</v>
      </c>
      <c r="L5" s="25" t="s">
        <v>216</v>
      </c>
    </row>
    <row r="6" spans="1:12" x14ac:dyDescent="0.4">
      <c r="A6" s="35" t="s">
        <v>55</v>
      </c>
      <c r="B6" s="36">
        <v>4.1736005338721023E-2</v>
      </c>
      <c r="C6" s="36">
        <v>0.03</v>
      </c>
      <c r="D6" s="36">
        <v>9.9999999999999985E-3</v>
      </c>
      <c r="E6" s="36">
        <v>1.9472010677442031E-2</v>
      </c>
      <c r="F6" s="36">
        <v>-4.0000000000000001E-3</v>
      </c>
      <c r="G6" s="36">
        <v>-3.1384012457015713E-2</v>
      </c>
      <c r="H6" s="36">
        <v>2.3912001779573672E-2</v>
      </c>
      <c r="I6" s="36">
        <v>0.02</v>
      </c>
      <c r="J6" s="36">
        <v>1.413199733063949E-2</v>
      </c>
      <c r="K6" s="37">
        <v>1.2</v>
      </c>
      <c r="L6" s="37">
        <v>3</v>
      </c>
    </row>
    <row r="7" spans="1:12" x14ac:dyDescent="0.4">
      <c r="A7" s="35" t="s">
        <v>56</v>
      </c>
      <c r="B7" s="36">
        <v>3.1736005338721007E-2</v>
      </c>
      <c r="C7" s="36">
        <v>0.02</v>
      </c>
      <c r="D7" s="36">
        <v>8.2639946612789849E-3</v>
      </c>
      <c r="E7" s="36">
        <v>6.8472010677442033E-2</v>
      </c>
      <c r="F7" s="36">
        <v>4.4999999999999998E-2</v>
      </c>
      <c r="G7" s="36">
        <v>0.03</v>
      </c>
      <c r="H7" s="36">
        <v>2.3912001779573672E-2</v>
      </c>
      <c r="I7" s="36">
        <v>0.02</v>
      </c>
      <c r="J7" s="36">
        <v>1.413199733063949E-2</v>
      </c>
      <c r="K7" s="37">
        <v>1.26</v>
      </c>
      <c r="L7" s="37">
        <v>3</v>
      </c>
    </row>
    <row r="8" spans="1:12" x14ac:dyDescent="0.4">
      <c r="A8" s="35" t="s">
        <v>57</v>
      </c>
      <c r="B8" s="36">
        <v>3.1736005338721007E-2</v>
      </c>
      <c r="C8" s="36">
        <v>0.02</v>
      </c>
      <c r="D8" s="36">
        <v>8.2639946612789849E-3</v>
      </c>
      <c r="E8" s="36">
        <v>0.111472010677442</v>
      </c>
      <c r="F8" s="36">
        <v>8.7999999999999995E-2</v>
      </c>
      <c r="G8" s="36">
        <v>6.0615987542984293E-2</v>
      </c>
      <c r="H8" s="36">
        <v>2.3912001779573672E-2</v>
      </c>
      <c r="I8" s="36">
        <v>0.02</v>
      </c>
      <c r="J8" s="36">
        <v>1.413199733063949E-2</v>
      </c>
      <c r="K8" s="37">
        <v>1.2</v>
      </c>
      <c r="L8" s="37">
        <v>3</v>
      </c>
    </row>
    <row r="9" spans="1:12" x14ac:dyDescent="0.4">
      <c r="A9" s="35" t="s">
        <v>58</v>
      </c>
      <c r="B9" s="36">
        <v>3.1736005338721007E-2</v>
      </c>
      <c r="C9" s="36">
        <v>0.02</v>
      </c>
      <c r="D9" s="36">
        <v>8.2639946612789849E-3</v>
      </c>
      <c r="E9" s="36">
        <v>5.3472010677442033E-2</v>
      </c>
      <c r="F9" s="36">
        <v>0.03</v>
      </c>
      <c r="G9" s="36">
        <v>2.615987542984297E-3</v>
      </c>
      <c r="H9" s="36">
        <v>2.8912001779573669E-2</v>
      </c>
      <c r="I9" s="36">
        <v>2.5000000000000001E-2</v>
      </c>
      <c r="J9" s="36">
        <v>1.9131997330639489E-2</v>
      </c>
      <c r="K9" s="37">
        <v>1.2</v>
      </c>
      <c r="L9" s="37">
        <v>3</v>
      </c>
    </row>
    <row r="10" spans="1:12" x14ac:dyDescent="0.4">
      <c r="A10" s="35" t="s">
        <v>59</v>
      </c>
      <c r="B10" s="36">
        <v>3.1736005338721007E-2</v>
      </c>
      <c r="C10" s="36">
        <v>0.02</v>
      </c>
      <c r="D10" s="36">
        <v>8.2639946612789849E-3</v>
      </c>
      <c r="E10" s="36">
        <v>5.3472010677442033E-2</v>
      </c>
      <c r="F10" s="36">
        <v>0.03</v>
      </c>
      <c r="G10" s="36">
        <v>2.615987542984297E-3</v>
      </c>
      <c r="H10" s="36">
        <v>2.3912001779573672E-2</v>
      </c>
      <c r="I10" s="36">
        <v>0.02</v>
      </c>
      <c r="J10" s="36">
        <v>1.413199733063949E-2</v>
      </c>
      <c r="K10" s="37">
        <v>1.2</v>
      </c>
      <c r="L10" s="37">
        <v>3</v>
      </c>
    </row>
    <row r="11" spans="1:12" x14ac:dyDescent="0.4">
      <c r="A11" s="35" t="s">
        <v>60</v>
      </c>
      <c r="B11" s="36">
        <v>3.5000000000000003E-2</v>
      </c>
      <c r="C11" s="36">
        <v>0.02</v>
      </c>
      <c r="D11" s="36">
        <v>8.2639946612789849E-3</v>
      </c>
      <c r="E11" s="36">
        <v>0.18347201067744201</v>
      </c>
      <c r="F11" s="36">
        <v>0.16</v>
      </c>
      <c r="G11" s="36">
        <v>0.13261598754298429</v>
      </c>
      <c r="H11" s="36">
        <v>2.3912001779573672E-2</v>
      </c>
      <c r="I11" s="36">
        <v>0.02</v>
      </c>
      <c r="J11" s="36">
        <v>1.413199733063949E-2</v>
      </c>
      <c r="K11" s="37">
        <v>1.2</v>
      </c>
      <c r="L11" s="37">
        <v>3</v>
      </c>
    </row>
    <row r="12" spans="1:12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4">
      <c r="A15" s="3" t="s">
        <v>217</v>
      </c>
    </row>
    <row r="16" spans="1:12" x14ac:dyDescent="0.4">
      <c r="A16" s="22" t="s">
        <v>218</v>
      </c>
      <c r="B16" s="22" t="s">
        <v>219</v>
      </c>
      <c r="C16" s="22" t="s">
        <v>220</v>
      </c>
      <c r="D16" s="22" t="s">
        <v>221</v>
      </c>
      <c r="E16" s="22" t="s">
        <v>222</v>
      </c>
    </row>
    <row r="17" spans="1:5" x14ac:dyDescent="0.4">
      <c r="A17" s="4" t="s">
        <v>223</v>
      </c>
      <c r="B17" s="6">
        <f>'DCF Bull'!K122</f>
        <v>83.690162759348297</v>
      </c>
      <c r="C17" s="38">
        <v>0.2</v>
      </c>
      <c r="D17" s="27" t="s">
        <v>224</v>
      </c>
      <c r="E17" s="6">
        <f>MAX(B17,0)</f>
        <v>83.690162759348297</v>
      </c>
    </row>
    <row r="18" spans="1:5" x14ac:dyDescent="0.4">
      <c r="A18" s="4" t="s">
        <v>225</v>
      </c>
      <c r="B18" s="6">
        <f>'DCF Base'!K122</f>
        <v>50.657717425607956</v>
      </c>
      <c r="C18" s="38">
        <v>0.6</v>
      </c>
      <c r="D18" s="27" t="s">
        <v>226</v>
      </c>
      <c r="E18" s="6">
        <f>MAX(B18,0)</f>
        <v>50.657717425607956</v>
      </c>
    </row>
    <row r="19" spans="1:5" x14ac:dyDescent="0.4">
      <c r="A19" s="4" t="s">
        <v>227</v>
      </c>
      <c r="B19" s="6">
        <f>'DCF Bear'!K122</f>
        <v>21.104768222023083</v>
      </c>
      <c r="C19" s="38">
        <v>0.2</v>
      </c>
      <c r="D19" s="27" t="s">
        <v>228</v>
      </c>
      <c r="E19" s="6">
        <f>MAX(B19,0)</f>
        <v>21.104768222023083</v>
      </c>
    </row>
    <row r="20" spans="1:5" x14ac:dyDescent="0.4">
      <c r="A20" s="2" t="s">
        <v>229</v>
      </c>
    </row>
    <row r="21" spans="1:5" ht="15.9" customHeight="1" x14ac:dyDescent="0.45">
      <c r="A21" s="19" t="s">
        <v>230</v>
      </c>
      <c r="B21" s="21">
        <f>MAX(0,B17*C17+B18*C18+B19*C19)</f>
        <v>51.353616651639051</v>
      </c>
      <c r="D21" s="2" t="s">
        <v>231</v>
      </c>
      <c r="E21" s="6">
        <f>B17*C17+B18*C18+B19*C19</f>
        <v>51.353616651639051</v>
      </c>
    </row>
    <row r="22" spans="1:5" x14ac:dyDescent="0.4">
      <c r="A22" s="2" t="s">
        <v>232</v>
      </c>
      <c r="B22" s="39" t="s">
        <v>233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6"/>
  <sheetViews>
    <sheetView workbookViewId="0"/>
  </sheetViews>
  <sheetFormatPr baseColWidth="10" defaultColWidth="9.23046875" defaultRowHeight="14.6" x14ac:dyDescent="0.4"/>
  <cols>
    <col min="1" max="1" width="34" customWidth="1"/>
    <col min="2" max="5" width="14" customWidth="1"/>
  </cols>
  <sheetData>
    <row r="1" spans="1:5" ht="16.75" customHeight="1" x14ac:dyDescent="0.45">
      <c r="A1" s="28" t="s">
        <v>234</v>
      </c>
    </row>
    <row r="2" spans="1:5" x14ac:dyDescent="0.4">
      <c r="A2" s="2" t="s">
        <v>235</v>
      </c>
    </row>
    <row r="4" spans="1:5" x14ac:dyDescent="0.4">
      <c r="A4" s="4" t="s">
        <v>236</v>
      </c>
      <c r="B4" s="40">
        <v>49.36</v>
      </c>
    </row>
    <row r="5" spans="1:5" x14ac:dyDescent="0.4">
      <c r="A5" s="4" t="s">
        <v>237</v>
      </c>
      <c r="B5" s="40">
        <v>51.35</v>
      </c>
    </row>
    <row r="6" spans="1:5" x14ac:dyDescent="0.4">
      <c r="A6" s="4" t="s">
        <v>238</v>
      </c>
      <c r="B6" s="29">
        <f>(B5-B4)/B4</f>
        <v>4.0316045380875243E-2</v>
      </c>
    </row>
    <row r="7" spans="1:5" x14ac:dyDescent="0.4">
      <c r="A7" s="4" t="s">
        <v>239</v>
      </c>
      <c r="B7" s="41" t="s">
        <v>240</v>
      </c>
    </row>
    <row r="9" spans="1:5" x14ac:dyDescent="0.4">
      <c r="B9" s="31" t="s">
        <v>225</v>
      </c>
      <c r="C9" s="31" t="s">
        <v>241</v>
      </c>
      <c r="D9" s="31" t="s">
        <v>242</v>
      </c>
      <c r="E9" s="31" t="s">
        <v>243</v>
      </c>
    </row>
    <row r="10" spans="1:5" x14ac:dyDescent="0.4">
      <c r="A10" t="s">
        <v>244</v>
      </c>
      <c r="B10" s="42">
        <v>56454</v>
      </c>
      <c r="C10" s="6">
        <f>B10</f>
        <v>56454</v>
      </c>
      <c r="D10" s="6">
        <f>B10</f>
        <v>56454</v>
      </c>
      <c r="E10" s="6">
        <f t="shared" ref="E10:E15" si="0">B10</f>
        <v>56454</v>
      </c>
    </row>
    <row r="11" spans="1:5" x14ac:dyDescent="0.4">
      <c r="A11" t="s">
        <v>245</v>
      </c>
      <c r="B11" s="43">
        <v>2.1781096113650051E-2</v>
      </c>
      <c r="C11" s="44">
        <v>2.1781096113650051E-2</v>
      </c>
      <c r="D11" s="11">
        <f>B11</f>
        <v>2.1781096113650051E-2</v>
      </c>
      <c r="E11" s="11">
        <f t="shared" si="0"/>
        <v>2.1781096113650051E-2</v>
      </c>
    </row>
    <row r="12" spans="1:5" x14ac:dyDescent="0.4">
      <c r="A12" t="s">
        <v>246</v>
      </c>
      <c r="B12" s="43">
        <v>5.8235767173273813E-2</v>
      </c>
      <c r="C12" s="11">
        <f t="shared" ref="C12:C20" si="1">B12</f>
        <v>5.8235767173273813E-2</v>
      </c>
      <c r="D12" s="11">
        <f>B12</f>
        <v>5.8235767173273813E-2</v>
      </c>
      <c r="E12" s="11">
        <f t="shared" si="0"/>
        <v>5.8235767173273813E-2</v>
      </c>
    </row>
    <row r="13" spans="1:5" x14ac:dyDescent="0.4">
      <c r="A13" t="s">
        <v>247</v>
      </c>
      <c r="B13" s="43">
        <v>8.5193608955964159E-2</v>
      </c>
      <c r="C13" s="11">
        <f t="shared" si="1"/>
        <v>8.5193608955964159E-2</v>
      </c>
      <c r="D13" s="44">
        <v>8.5193608955964159E-2</v>
      </c>
      <c r="E13" s="11">
        <f t="shared" si="0"/>
        <v>8.5193608955964159E-2</v>
      </c>
    </row>
    <row r="14" spans="1:5" x14ac:dyDescent="0.4">
      <c r="A14" t="s">
        <v>248</v>
      </c>
      <c r="B14" s="43">
        <v>-4.2663938782017217E-3</v>
      </c>
      <c r="C14" s="11">
        <f t="shared" si="1"/>
        <v>-4.2663938782017217E-3</v>
      </c>
      <c r="D14" s="11">
        <f t="shared" ref="D14:D20" si="2">B14</f>
        <v>-4.2663938782017217E-3</v>
      </c>
      <c r="E14" s="11">
        <f t="shared" si="0"/>
        <v>-4.2663938782017217E-3</v>
      </c>
    </row>
    <row r="15" spans="1:5" x14ac:dyDescent="0.4">
      <c r="A15" t="s">
        <v>73</v>
      </c>
      <c r="B15" s="43">
        <v>2.057648705140468E-2</v>
      </c>
      <c r="C15" s="11">
        <f t="shared" si="1"/>
        <v>2.057648705140468E-2</v>
      </c>
      <c r="D15" s="11">
        <f t="shared" si="2"/>
        <v>2.057648705140468E-2</v>
      </c>
      <c r="E15" s="11">
        <f t="shared" si="0"/>
        <v>2.057648705140468E-2</v>
      </c>
    </row>
    <row r="16" spans="1:5" x14ac:dyDescent="0.4">
      <c r="A16" t="s">
        <v>249</v>
      </c>
      <c r="B16" s="43">
        <v>7.5931716904362387E-2</v>
      </c>
      <c r="C16" s="11">
        <f t="shared" si="1"/>
        <v>7.5931716904362387E-2</v>
      </c>
      <c r="D16" s="11">
        <f t="shared" si="2"/>
        <v>7.5931716904362387E-2</v>
      </c>
      <c r="E16" s="44">
        <v>7.5931716904362387E-2</v>
      </c>
    </row>
    <row r="17" spans="1:5" x14ac:dyDescent="0.4">
      <c r="A17" t="s">
        <v>250</v>
      </c>
      <c r="B17" s="43">
        <v>0.27</v>
      </c>
      <c r="C17" s="11">
        <f t="shared" si="1"/>
        <v>0.27</v>
      </c>
      <c r="D17" s="11">
        <f t="shared" si="2"/>
        <v>0.27</v>
      </c>
      <c r="E17" s="11">
        <f>B17</f>
        <v>0.27</v>
      </c>
    </row>
    <row r="18" spans="1:5" x14ac:dyDescent="0.4">
      <c r="A18" t="s">
        <v>251</v>
      </c>
      <c r="B18" s="42">
        <v>-4397</v>
      </c>
      <c r="C18" s="6">
        <f t="shared" si="1"/>
        <v>-4397</v>
      </c>
      <c r="D18" s="6">
        <f t="shared" si="2"/>
        <v>-4397</v>
      </c>
      <c r="E18" s="6">
        <f>B18</f>
        <v>-4397</v>
      </c>
    </row>
    <row r="19" spans="1:5" x14ac:dyDescent="0.4">
      <c r="A19" t="s">
        <v>252</v>
      </c>
      <c r="B19" s="42">
        <v>-17053.8</v>
      </c>
      <c r="C19" s="6">
        <f t="shared" si="1"/>
        <v>-17053.8</v>
      </c>
      <c r="D19" s="6">
        <f t="shared" si="2"/>
        <v>-17053.8</v>
      </c>
      <c r="E19" s="6">
        <f>B19</f>
        <v>-17053.8</v>
      </c>
    </row>
    <row r="20" spans="1:5" x14ac:dyDescent="0.4">
      <c r="A20" t="s">
        <v>253</v>
      </c>
      <c r="B20" s="40">
        <v>890</v>
      </c>
      <c r="C20" s="6">
        <f t="shared" si="1"/>
        <v>890</v>
      </c>
      <c r="D20" s="6">
        <f t="shared" si="2"/>
        <v>890</v>
      </c>
      <c r="E20" s="6">
        <f>B20</f>
        <v>890</v>
      </c>
    </row>
    <row r="22" spans="1:5" x14ac:dyDescent="0.4">
      <c r="A22" t="s">
        <v>254</v>
      </c>
      <c r="B22" s="6">
        <f>B10*(1+B11)^1</f>
        <v>57683.63</v>
      </c>
      <c r="C22" s="6">
        <f>C10*(1+C11)^1</f>
        <v>57683.63</v>
      </c>
      <c r="D22" s="6">
        <f>D10*(1+D11)^1</f>
        <v>57683.63</v>
      </c>
      <c r="E22" s="6">
        <f>E10*(1+E11)^1</f>
        <v>57683.63</v>
      </c>
    </row>
    <row r="23" spans="1:5" x14ac:dyDescent="0.4">
      <c r="A23" t="s">
        <v>255</v>
      </c>
      <c r="B23" s="6">
        <f>B10*(1+B11)^2</f>
        <v>58940.042689214213</v>
      </c>
      <c r="C23" s="6">
        <f>C10*(1+C11)^2</f>
        <v>58940.042689214213</v>
      </c>
      <c r="D23" s="6">
        <f>D10*(1+D11)^2</f>
        <v>58940.042689214213</v>
      </c>
      <c r="E23" s="6">
        <f>E10*(1+E11)^2</f>
        <v>58940.042689214213</v>
      </c>
    </row>
    <row r="24" spans="1:5" x14ac:dyDescent="0.4">
      <c r="A24" t="s">
        <v>256</v>
      </c>
      <c r="B24" s="6">
        <f>B10*(1+B11)^3</f>
        <v>60223.821423970621</v>
      </c>
      <c r="C24" s="6">
        <f>C10*(1+C11)^3</f>
        <v>60223.821423970621</v>
      </c>
      <c r="D24" s="6">
        <f>D10*(1+D11)^3</f>
        <v>60223.821423970621</v>
      </c>
      <c r="E24" s="6">
        <f>E10*(1+E11)^3</f>
        <v>60223.821423970621</v>
      </c>
    </row>
    <row r="25" spans="1:5" x14ac:dyDescent="0.4">
      <c r="A25" t="s">
        <v>257</v>
      </c>
      <c r="B25" s="6">
        <f>B10*(1+B11)^4</f>
        <v>61535.562266737412</v>
      </c>
      <c r="C25" s="6">
        <f>C10*(1+C11)^4</f>
        <v>61535.562266737412</v>
      </c>
      <c r="D25" s="6">
        <f>D10*(1+D11)^4</f>
        <v>61535.562266737412</v>
      </c>
      <c r="E25" s="6">
        <f>E10*(1+E11)^4</f>
        <v>61535.562266737412</v>
      </c>
    </row>
    <row r="26" spans="1:5" x14ac:dyDescent="0.4">
      <c r="A26" t="s">
        <v>258</v>
      </c>
      <c r="B26" s="6">
        <f>B10*(1+B11)^5</f>
        <v>62875.874262876721</v>
      </c>
      <c r="C26" s="6">
        <f>C10*(1+C11)^5</f>
        <v>62875.874262876721</v>
      </c>
      <c r="D26" s="6">
        <f>D10*(1+D11)^5</f>
        <v>62875.874262876721</v>
      </c>
      <c r="E26" s="6">
        <f>E10*(1+E11)^5</f>
        <v>62875.874262876721</v>
      </c>
    </row>
    <row r="27" spans="1:5" x14ac:dyDescent="0.4">
      <c r="A27" t="s">
        <v>259</v>
      </c>
      <c r="B27" s="6">
        <f>B26*(1+(B11+(B15-B11)*1/5))</f>
        <v>64230.231553839476</v>
      </c>
      <c r="C27" s="6">
        <f>C26*(1+(C11+(C15-C11)*1/5))</f>
        <v>64230.231553839476</v>
      </c>
      <c r="D27" s="6">
        <f>D26*(1+(D11+(D15-D11)*1/5))</f>
        <v>64230.231553839476</v>
      </c>
      <c r="E27" s="6">
        <f>E26*(1+(E11+(E15-E11)*1/5))</f>
        <v>64230.231553839476</v>
      </c>
    </row>
    <row r="28" spans="1:5" x14ac:dyDescent="0.4">
      <c r="A28" t="s">
        <v>260</v>
      </c>
      <c r="B28" s="6">
        <f>B27*(1+(B11+(B15-B11)*2/5))</f>
        <v>65598.287473115706</v>
      </c>
      <c r="C28" s="6">
        <f>C27*(1+(C11+(C15-C11)*2/5))</f>
        <v>65598.287473115706</v>
      </c>
      <c r="D28" s="6">
        <f>D27*(1+(D11+(D15-D11)*2/5))</f>
        <v>65598.287473115706</v>
      </c>
      <c r="E28" s="6">
        <f>E27*(1+(E11+(E15-E11)*2/5))</f>
        <v>65598.287473115706</v>
      </c>
    </row>
    <row r="29" spans="1:5" x14ac:dyDescent="0.4">
      <c r="A29" t="s">
        <v>261</v>
      </c>
      <c r="B29" s="6">
        <f>B28*(1+(B11+(B15-B11)*3/5))</f>
        <v>66979.677902523748</v>
      </c>
      <c r="C29" s="6">
        <f>C28*(1+(C11+(C15-C11)*3/5))</f>
        <v>66979.677902523748</v>
      </c>
      <c r="D29" s="6">
        <f>D28*(1+(D11+(D15-D11)*3/5))</f>
        <v>66979.677902523748</v>
      </c>
      <c r="E29" s="6">
        <f>E28*(1+(E11+(E15-E11)*3/5))</f>
        <v>66979.677902523748</v>
      </c>
    </row>
    <row r="30" spans="1:5" x14ac:dyDescent="0.4">
      <c r="A30" t="s">
        <v>262</v>
      </c>
      <c r="B30" s="6">
        <f>B29*(1+(B11+(B15-B11)*4/5))</f>
        <v>68374.021242989809</v>
      </c>
      <c r="C30" s="6">
        <f>C29*(1+(C11+(C15-C11)*4/5))</f>
        <v>68374.021242989809</v>
      </c>
      <c r="D30" s="6">
        <f>D29*(1+(D11+(D15-D11)*4/5))</f>
        <v>68374.021242989809</v>
      </c>
      <c r="E30" s="6">
        <f>E29*(1+(E11+(E15-E11)*4/5))</f>
        <v>68374.021242989809</v>
      </c>
    </row>
    <row r="31" spans="1:5" x14ac:dyDescent="0.4">
      <c r="A31" t="s">
        <v>263</v>
      </c>
      <c r="B31" s="6">
        <f>B30*(1+(B11+(B15-B11)*5/5))</f>
        <v>69780.918405748656</v>
      </c>
      <c r="C31" s="6">
        <f>C30*(1+(C11+(C15-C11)*5/5))</f>
        <v>69780.918405748656</v>
      </c>
      <c r="D31" s="6">
        <f>D30*(1+(D11+(D15-D11)*5/5))</f>
        <v>69780.918405748656</v>
      </c>
      <c r="E31" s="6">
        <f>E30*(1+(E11+(E15-E11)*5/5))</f>
        <v>69780.918405748656</v>
      </c>
    </row>
    <row r="33" spans="1:5" x14ac:dyDescent="0.4">
      <c r="A33" t="s">
        <v>264</v>
      </c>
      <c r="B33" s="6">
        <f>B22*(B12+(B13-B12)*0/4)*(1-B17)-B22*B14</f>
        <v>2698.3539117686219</v>
      </c>
      <c r="C33" s="6">
        <f>C22*(C12+(C13-C12)*0/4)*(1-C17)-C22*C14</f>
        <v>2698.3539117686219</v>
      </c>
      <c r="D33" s="6">
        <f>D22*(D12+(D13-D12)*0/4)*(1-D17)-D22*D14</f>
        <v>2698.3539117686219</v>
      </c>
      <c r="E33" s="6">
        <f>E22*(E12+(E13-E12)*0/4)*(1-E17)-E22*E14</f>
        <v>2698.3539117686219</v>
      </c>
    </row>
    <row r="34" spans="1:5" x14ac:dyDescent="0.4">
      <c r="A34" t="s">
        <v>265</v>
      </c>
      <c r="B34" s="6">
        <f>B23*(B12+(B13-B12)*1/4)*(1-B17)-B23*B14</f>
        <v>3047.1006007197534</v>
      </c>
      <c r="C34" s="6">
        <f>C23*(C12+(C13-C12)*1/4)*(1-C17)-C23*C14</f>
        <v>3047.1006007197534</v>
      </c>
      <c r="D34" s="6">
        <f>D23*(D12+(D13-D12)*1/4)*(1-D17)-D23*D14</f>
        <v>3047.1006007197534</v>
      </c>
      <c r="E34" s="6">
        <f>E23*(E12+(E13-E12)*1/4)*(1-E17)-E23*E14</f>
        <v>3047.1006007197534</v>
      </c>
    </row>
    <row r="35" spans="1:5" x14ac:dyDescent="0.4">
      <c r="A35" t="s">
        <v>266</v>
      </c>
      <c r="B35" s="6">
        <f>B24*(B12+(B13-B12)*2/4)*(1-B17)-B24*B14</f>
        <v>3409.7593173050832</v>
      </c>
      <c r="C35" s="6">
        <f>C24*(C12+(C13-C12)*2/4)*(1-C17)-C24*C14</f>
        <v>3409.7593173050832</v>
      </c>
      <c r="D35" s="6">
        <f>D24*(D12+(D13-D12)*2/4)*(1-D17)-D24*D14</f>
        <v>3409.7593173050832</v>
      </c>
      <c r="E35" s="6">
        <f>E24*(E12+(E13-E12)*2/4)*(1-E17)-E24*E14</f>
        <v>3409.7593173050832</v>
      </c>
    </row>
    <row r="36" spans="1:5" x14ac:dyDescent="0.4">
      <c r="A36" t="s">
        <v>267</v>
      </c>
      <c r="B36" s="6">
        <f>B25*(B12+(B13-B12)*3/4)*(1-B17)-B25*B14</f>
        <v>3786.7706488859144</v>
      </c>
      <c r="C36" s="6">
        <f>C25*(C12+(C13-C12)*3/4)*(1-C17)-C25*C14</f>
        <v>3786.7706488859144</v>
      </c>
      <c r="D36" s="6">
        <f>D25*(D12+(D13-D12)*3/4)*(1-D17)-D25*D14</f>
        <v>3786.7706488859144</v>
      </c>
      <c r="E36" s="6">
        <f>E25*(E12+(E13-E12)*3/4)*(1-E17)-E25*E14</f>
        <v>3786.7706488859144</v>
      </c>
    </row>
    <row r="37" spans="1:5" x14ac:dyDescent="0.4">
      <c r="A37" t="s">
        <v>268</v>
      </c>
      <c r="B37" s="6">
        <f>B26*(B12+(B13-B12)*4/4)*(1-B17)-B26*B14</f>
        <v>4178.5877756843183</v>
      </c>
      <c r="C37" s="6">
        <f>C26*(C12+(C13-C12)*4/4)*(1-C17)-C26*C14</f>
        <v>4178.5877756843183</v>
      </c>
      <c r="D37" s="6">
        <f>D26*(D12+(D13-D12)*4/4)*(1-D17)-D26*D14</f>
        <v>4178.5877756843183</v>
      </c>
      <c r="E37" s="6">
        <f>E26*(E12+(E13-E12)*4/4)*(1-E17)-E26*E14</f>
        <v>4178.5877756843183</v>
      </c>
    </row>
    <row r="38" spans="1:5" x14ac:dyDescent="0.4">
      <c r="A38" t="s">
        <v>269</v>
      </c>
      <c r="B38" s="6">
        <f>B27*B13*(1-B17)-B27*B14</f>
        <v>4268.5952847054259</v>
      </c>
      <c r="C38" s="6">
        <f>C27*C13*(1-C17)-C27*C14</f>
        <v>4268.5952847054259</v>
      </c>
      <c r="D38" s="6">
        <f>D27*D13*(1-D17)-D27*D14</f>
        <v>4268.5952847054259</v>
      </c>
      <c r="E38" s="6">
        <f>E27*E13*(1-E17)-E27*E14</f>
        <v>4268.5952847054259</v>
      </c>
    </row>
    <row r="39" spans="1:5" x14ac:dyDescent="0.4">
      <c r="A39" t="s">
        <v>270</v>
      </c>
      <c r="B39" s="6">
        <f>B28*B13*(1-B17)-B28*B14</f>
        <v>4359.5131734466622</v>
      </c>
      <c r="C39" s="6">
        <f>C28*C13*(1-C17)-C28*C14</f>
        <v>4359.5131734466622</v>
      </c>
      <c r="D39" s="6">
        <f>D28*D13*(1-D17)-D28*D14</f>
        <v>4359.5131734466622</v>
      </c>
      <c r="E39" s="6">
        <f>E28*E13*(1-E17)-E28*E14</f>
        <v>4359.5131734466622</v>
      </c>
    </row>
    <row r="40" spans="1:5" x14ac:dyDescent="0.4">
      <c r="A40" t="s">
        <v>271</v>
      </c>
      <c r="B40" s="6">
        <f>B29*B13*(1-B17)-B29*B14</f>
        <v>4451.3172434408016</v>
      </c>
      <c r="C40" s="6">
        <f>C29*C13*(1-C17)-C29*C14</f>
        <v>4451.3172434408016</v>
      </c>
      <c r="D40" s="6">
        <f>D29*D13*(1-D17)-D29*D14</f>
        <v>4451.3172434408016</v>
      </c>
      <c r="E40" s="6">
        <f>E29*E13*(1-E17)-E29*E14</f>
        <v>4451.3172434408016</v>
      </c>
    </row>
    <row r="41" spans="1:5" x14ac:dyDescent="0.4">
      <c r="A41" t="s">
        <v>272</v>
      </c>
      <c r="B41" s="6">
        <f>B30*B13*(1-B17)-B30*B14</f>
        <v>4543.9821344802303</v>
      </c>
      <c r="C41" s="6">
        <f>C30*C13*(1-C17)-C30*C14</f>
        <v>4543.9821344802303</v>
      </c>
      <c r="D41" s="6">
        <f>D30*D13*(1-D17)-D30*D14</f>
        <v>4543.9821344802303</v>
      </c>
      <c r="E41" s="6">
        <f>E30*E13*(1-E17)-E30*E14</f>
        <v>4543.9821344802303</v>
      </c>
    </row>
    <row r="42" spans="1:5" x14ac:dyDescent="0.4">
      <c r="A42" t="s">
        <v>273</v>
      </c>
      <c r="B42" s="6">
        <f>B31*B13*(1-B17)-B31*B14</f>
        <v>4637.4813240321764</v>
      </c>
      <c r="C42" s="6">
        <f>C31*C13*(1-C17)-C31*C14</f>
        <v>4637.4813240321764</v>
      </c>
      <c r="D42" s="6">
        <f>D31*D13*(1-D17)-D31*D14</f>
        <v>4637.4813240321764</v>
      </c>
      <c r="E42" s="6">
        <f>E31*E13*(1-E17)-E31*E14</f>
        <v>4637.4813240321764</v>
      </c>
    </row>
    <row r="44" spans="1:5" x14ac:dyDescent="0.4">
      <c r="A44" t="s">
        <v>130</v>
      </c>
      <c r="B44" s="6">
        <f>B33/(1+B16)^1</f>
        <v>2507.9230116314843</v>
      </c>
      <c r="C44" s="6">
        <f>C33/(1+C16)^1</f>
        <v>2507.9230116314843</v>
      </c>
      <c r="D44" s="6">
        <f>D33/(1+D16)^1</f>
        <v>2507.9230116314843</v>
      </c>
      <c r="E44" s="6">
        <f>E33/(1+E16)^1</f>
        <v>2507.9230116314843</v>
      </c>
    </row>
    <row r="45" spans="1:5" x14ac:dyDescent="0.4">
      <c r="A45" t="s">
        <v>131</v>
      </c>
      <c r="B45" s="6">
        <f>B34/(1+B16)^2</f>
        <v>2632.1908351123775</v>
      </c>
      <c r="C45" s="6">
        <f>C34/(1+C16)^2</f>
        <v>2632.1908351123775</v>
      </c>
      <c r="D45" s="6">
        <f>D34/(1+D16)^2</f>
        <v>2632.1908351123775</v>
      </c>
      <c r="E45" s="6">
        <f>E34/(1+E16)^2</f>
        <v>2632.1908351123775</v>
      </c>
    </row>
    <row r="46" spans="1:5" x14ac:dyDescent="0.4">
      <c r="A46" t="s">
        <v>132</v>
      </c>
      <c r="B46" s="6">
        <f>B35/(1+B16)^3</f>
        <v>2737.597493491869</v>
      </c>
      <c r="C46" s="6">
        <f>C35/(1+C16)^3</f>
        <v>2737.597493491869</v>
      </c>
      <c r="D46" s="6">
        <f>D35/(1+D16)^3</f>
        <v>2737.597493491869</v>
      </c>
      <c r="E46" s="6">
        <f>E35/(1+E16)^3</f>
        <v>2737.597493491869</v>
      </c>
    </row>
    <row r="47" spans="1:5" x14ac:dyDescent="0.4">
      <c r="A47" t="s">
        <v>133</v>
      </c>
      <c r="B47" s="6">
        <f>B36/(1+B16)^4</f>
        <v>2825.726743757411</v>
      </c>
      <c r="C47" s="6">
        <f>C36/(1+C16)^4</f>
        <v>2825.726743757411</v>
      </c>
      <c r="D47" s="6">
        <f>D36/(1+D16)^4</f>
        <v>2825.726743757411</v>
      </c>
      <c r="E47" s="6">
        <f>E36/(1+E16)^4</f>
        <v>2825.726743757411</v>
      </c>
    </row>
    <row r="48" spans="1:5" x14ac:dyDescent="0.4">
      <c r="A48" t="s">
        <v>134</v>
      </c>
      <c r="B48" s="6">
        <f>B37/(1+B16)^5</f>
        <v>2898.0507005092577</v>
      </c>
      <c r="C48" s="6">
        <f>C37/(1+C16)^5</f>
        <v>2898.0507005092577</v>
      </c>
      <c r="D48" s="6">
        <f>D37/(1+D16)^5</f>
        <v>2898.0507005092577</v>
      </c>
      <c r="E48" s="6">
        <f>E37/(1+E16)^5</f>
        <v>2898.0507005092577</v>
      </c>
    </row>
    <row r="49" spans="1:5" x14ac:dyDescent="0.4">
      <c r="A49" t="s">
        <v>166</v>
      </c>
      <c r="B49" s="6">
        <f>B38/(1+B16)^6</f>
        <v>2751.545633629737</v>
      </c>
      <c r="C49" s="6">
        <f>C38/(1+C16)^6</f>
        <v>2751.545633629737</v>
      </c>
      <c r="D49" s="6">
        <f>D38/(1+D16)^6</f>
        <v>2751.545633629737</v>
      </c>
      <c r="E49" s="6">
        <f>E38/(1+E16)^6</f>
        <v>2751.545633629737</v>
      </c>
    </row>
    <row r="50" spans="1:5" x14ac:dyDescent="0.4">
      <c r="A50" t="s">
        <v>167</v>
      </c>
      <c r="B50" s="6">
        <f>B39/(1+B16)^7</f>
        <v>2611.8307088297584</v>
      </c>
      <c r="C50" s="6">
        <f>C39/(1+C16)^7</f>
        <v>2611.8307088297584</v>
      </c>
      <c r="D50" s="6">
        <f>D39/(1+D16)^7</f>
        <v>2611.8307088297584</v>
      </c>
      <c r="E50" s="6">
        <f>E39/(1+E16)^7</f>
        <v>2611.8307088297584</v>
      </c>
    </row>
    <row r="51" spans="1:5" x14ac:dyDescent="0.4">
      <c r="A51" t="s">
        <v>168</v>
      </c>
      <c r="B51" s="6">
        <f>B40/(1+B16)^8</f>
        <v>2478.6252339876592</v>
      </c>
      <c r="C51" s="6">
        <f>C40/(1+C16)^8</f>
        <v>2478.6252339876592</v>
      </c>
      <c r="D51" s="6">
        <f>D40/(1+D16)^8</f>
        <v>2478.6252339876592</v>
      </c>
      <c r="E51" s="6">
        <f>E40/(1+E16)^8</f>
        <v>2478.6252339876592</v>
      </c>
    </row>
    <row r="52" spans="1:5" x14ac:dyDescent="0.4">
      <c r="A52" t="s">
        <v>169</v>
      </c>
      <c r="B52" s="6">
        <f>B41/(1+B16)^9</f>
        <v>2351.6583340286011</v>
      </c>
      <c r="C52" s="6">
        <f>C41/(1+C16)^9</f>
        <v>2351.6583340286011</v>
      </c>
      <c r="D52" s="6">
        <f>D41/(1+D16)^9</f>
        <v>2351.6583340286011</v>
      </c>
      <c r="E52" s="6">
        <f>E41/(1+E16)^9</f>
        <v>2351.6583340286011</v>
      </c>
    </row>
    <row r="53" spans="1:5" x14ac:dyDescent="0.4">
      <c r="A53" t="s">
        <v>170</v>
      </c>
      <c r="B53" s="6">
        <f>B42/(1+B16)^10</f>
        <v>2230.6686972602779</v>
      </c>
      <c r="C53" s="6">
        <f>C42/(1+C16)^10</f>
        <v>2230.6686972602779</v>
      </c>
      <c r="D53" s="6">
        <f>D42/(1+D16)^10</f>
        <v>2230.6686972602779</v>
      </c>
      <c r="E53" s="6">
        <f>E42/(1+E16)^10</f>
        <v>2230.6686972602779</v>
      </c>
    </row>
    <row r="54" spans="1:5" x14ac:dyDescent="0.4">
      <c r="A54" t="s">
        <v>172</v>
      </c>
      <c r="B54" s="6">
        <f>SUM(B44:B53)</f>
        <v>26025.81739223843</v>
      </c>
      <c r="C54" s="6">
        <f>SUM(C44:C53)</f>
        <v>26025.81739223843</v>
      </c>
      <c r="D54" s="6">
        <f>SUM(D44:D53)</f>
        <v>26025.81739223843</v>
      </c>
      <c r="E54" s="6">
        <f>SUM(E44:E53)</f>
        <v>26025.81739223843</v>
      </c>
    </row>
    <row r="55" spans="1:5" x14ac:dyDescent="0.4">
      <c r="A55" t="s">
        <v>173</v>
      </c>
      <c r="B55" s="6">
        <f>B42*(1+B15)/MAX(B16-B15,0.01)</f>
        <v>85500.582528867773</v>
      </c>
      <c r="C55" s="6">
        <f>C42*(1+C15)/MAX(C16-C15,0.01)</f>
        <v>85500.582528867773</v>
      </c>
      <c r="D55" s="6">
        <f>D42*(1+D15)/MAX(D16-D15,0.01)</f>
        <v>85500.582528867773</v>
      </c>
      <c r="E55" s="6">
        <f>E42*(1+E15)/MAX(E16-E15,0.01)</f>
        <v>85500.582528867773</v>
      </c>
    </row>
    <row r="56" spans="1:5" x14ac:dyDescent="0.4">
      <c r="A56" t="s">
        <v>174</v>
      </c>
      <c r="B56" s="6">
        <f>B55/(1+B16)^10</f>
        <v>41126.520996710984</v>
      </c>
      <c r="C56" s="6">
        <f>C55/(1+C16)^10</f>
        <v>41126.520996710984</v>
      </c>
      <c r="D56" s="6">
        <f>D55/(1+D16)^10</f>
        <v>41126.520996710984</v>
      </c>
      <c r="E56" s="6">
        <f>E55/(1+E16)^10</f>
        <v>41126.520996710984</v>
      </c>
    </row>
    <row r="57" spans="1:5" x14ac:dyDescent="0.4">
      <c r="A57" t="s">
        <v>274</v>
      </c>
      <c r="B57" s="6">
        <f>B54+B56</f>
        <v>67152.338388949414</v>
      </c>
      <c r="C57" s="6">
        <f>C54+C56</f>
        <v>67152.338388949414</v>
      </c>
      <c r="D57" s="6">
        <f>D54+D56</f>
        <v>67152.338388949414</v>
      </c>
      <c r="E57" s="6">
        <f>E54+E56</f>
        <v>67152.338388949414</v>
      </c>
    </row>
    <row r="58" spans="1:5" x14ac:dyDescent="0.4">
      <c r="A58" t="s">
        <v>275</v>
      </c>
      <c r="B58" s="6">
        <f>B57+B18+B19</f>
        <v>45701.538388949411</v>
      </c>
      <c r="C58" s="6">
        <f>C57+C18+C19</f>
        <v>45701.538388949411</v>
      </c>
      <c r="D58" s="6">
        <f>D57+D18+D19</f>
        <v>45701.538388949411</v>
      </c>
      <c r="E58" s="6">
        <f>E57+E18+E19</f>
        <v>45701.538388949411</v>
      </c>
    </row>
    <row r="59" spans="1:5" x14ac:dyDescent="0.4">
      <c r="A59" s="4" t="s">
        <v>276</v>
      </c>
      <c r="B59" s="32">
        <f>B58/B20</f>
        <v>51.350043133651027</v>
      </c>
      <c r="C59" s="32">
        <f>C58/C20</f>
        <v>51.350043133651027</v>
      </c>
      <c r="D59" s="32">
        <f>D58/D20</f>
        <v>51.350043133651027</v>
      </c>
      <c r="E59" s="32">
        <f>E58/E20</f>
        <v>51.350043133651027</v>
      </c>
    </row>
    <row r="60" spans="1:5" x14ac:dyDescent="0.4">
      <c r="A60" t="s">
        <v>277</v>
      </c>
      <c r="B60" s="6">
        <f>B59-B5</f>
        <v>4.3133651026039388E-5</v>
      </c>
      <c r="C60" s="6">
        <f>C59-B4</f>
        <v>1.990043133651028</v>
      </c>
      <c r="D60" s="6">
        <f>D59-B4</f>
        <v>1.990043133651028</v>
      </c>
      <c r="E60" s="6">
        <f>E59-B4</f>
        <v>1.990043133651028</v>
      </c>
    </row>
    <row r="62" spans="1:5" x14ac:dyDescent="0.4">
      <c r="A62" s="3" t="s">
        <v>278</v>
      </c>
    </row>
    <row r="63" spans="1:5" x14ac:dyDescent="0.4">
      <c r="A63" t="s">
        <v>279</v>
      </c>
      <c r="B63" s="45">
        <v>1.093</v>
      </c>
    </row>
    <row r="64" spans="1:5" x14ac:dyDescent="0.4">
      <c r="A64" t="s">
        <v>280</v>
      </c>
      <c r="B64" s="46">
        <v>11.188000000000001</v>
      </c>
    </row>
    <row r="65" spans="1:3" x14ac:dyDescent="0.4">
      <c r="A65" t="s">
        <v>281</v>
      </c>
      <c r="B65" s="47">
        <v>30.047058</v>
      </c>
    </row>
    <row r="66" spans="1:3" x14ac:dyDescent="0.4">
      <c r="A66" t="s">
        <v>282</v>
      </c>
      <c r="B66" s="47">
        <v>17.250928999999999</v>
      </c>
    </row>
    <row r="67" spans="1:3" x14ac:dyDescent="0.4">
      <c r="A67" t="s">
        <v>283</v>
      </c>
      <c r="B67" s="47">
        <v>1.3087369</v>
      </c>
    </row>
    <row r="69" spans="1:3" x14ac:dyDescent="0.4">
      <c r="A69" s="4" t="s">
        <v>284</v>
      </c>
      <c r="B69" s="2" t="s">
        <v>285</v>
      </c>
      <c r="C69" s="2" t="s">
        <v>286</v>
      </c>
    </row>
    <row r="70" spans="1:3" x14ac:dyDescent="0.4">
      <c r="B70" s="48">
        <v>2025</v>
      </c>
      <c r="C70" s="49">
        <v>0.97</v>
      </c>
    </row>
    <row r="71" spans="1:3" x14ac:dyDescent="0.4">
      <c r="B71" s="48">
        <v>2024</v>
      </c>
      <c r="C71" s="49">
        <v>0.92</v>
      </c>
    </row>
    <row r="72" spans="1:3" x14ac:dyDescent="0.4">
      <c r="B72" s="48">
        <v>2023</v>
      </c>
      <c r="C72" s="49">
        <v>0.9</v>
      </c>
    </row>
    <row r="73" spans="1:3" x14ac:dyDescent="0.4">
      <c r="B73" s="48">
        <v>2022</v>
      </c>
      <c r="C73" s="49">
        <v>0.7</v>
      </c>
    </row>
    <row r="77" spans="1:3" x14ac:dyDescent="0.4">
      <c r="A77" s="3" t="s">
        <v>287</v>
      </c>
    </row>
    <row r="79" spans="1:3" x14ac:dyDescent="0.4">
      <c r="A79" t="s">
        <v>288</v>
      </c>
      <c r="B79" s="50">
        <v>63448</v>
      </c>
    </row>
    <row r="80" spans="1:3" x14ac:dyDescent="0.4">
      <c r="A80" t="s">
        <v>289</v>
      </c>
      <c r="B80" s="50">
        <v>65218</v>
      </c>
    </row>
    <row r="81" spans="1:2" x14ac:dyDescent="0.4">
      <c r="A81" t="s">
        <v>290</v>
      </c>
      <c r="B81" s="50">
        <v>5671</v>
      </c>
    </row>
    <row r="82" spans="1:2" x14ac:dyDescent="0.4">
      <c r="A82" t="s">
        <v>291</v>
      </c>
      <c r="B82" s="50">
        <v>7259</v>
      </c>
    </row>
    <row r="83" spans="1:2" x14ac:dyDescent="0.4">
      <c r="A83" s="4" t="s">
        <v>292</v>
      </c>
      <c r="B83" s="33">
        <f>IF(B81&gt;0,B79/B81,"")</f>
        <v>11.188150238053254</v>
      </c>
    </row>
    <row r="84" spans="1:2" x14ac:dyDescent="0.4">
      <c r="A84" s="4" t="s">
        <v>293</v>
      </c>
      <c r="B84" s="33">
        <f>IF(B81&gt;0,B80/B81,"")</f>
        <v>11.500264503614883</v>
      </c>
    </row>
    <row r="85" spans="1:2" x14ac:dyDescent="0.4">
      <c r="A85" s="4" t="s">
        <v>294</v>
      </c>
      <c r="B85" s="33">
        <f>IF(B82&gt;0,B79/B82,"")</f>
        <v>8.7405978784956613</v>
      </c>
    </row>
    <row r="86" spans="1:2" x14ac:dyDescent="0.4">
      <c r="A86" s="4" t="s">
        <v>295</v>
      </c>
      <c r="B86" s="33">
        <f>IF(B82&gt;0,B80/B82,"")</f>
        <v>8.9844331175092993</v>
      </c>
    </row>
    <row r="88" spans="1:2" x14ac:dyDescent="0.4">
      <c r="A88" s="4" t="s">
        <v>296</v>
      </c>
    </row>
    <row r="89" spans="1:2" x14ac:dyDescent="0.4">
      <c r="A89" t="s">
        <v>297</v>
      </c>
      <c r="B89" s="46">
        <v>6.6</v>
      </c>
    </row>
    <row r="90" spans="1:2" x14ac:dyDescent="0.4">
      <c r="A90" t="s">
        <v>298</v>
      </c>
      <c r="B90" s="46">
        <v>7.18</v>
      </c>
    </row>
    <row r="91" spans="1:2" x14ac:dyDescent="0.4">
      <c r="A91" t="s">
        <v>299</v>
      </c>
      <c r="B91" s="46">
        <v>8.61</v>
      </c>
    </row>
    <row r="93" spans="1:2" x14ac:dyDescent="0.4">
      <c r="A93" s="4" t="s">
        <v>300</v>
      </c>
      <c r="B93" s="51" t="s">
        <v>301</v>
      </c>
    </row>
    <row r="94" spans="1:2" x14ac:dyDescent="0.4">
      <c r="A94" t="s">
        <v>302</v>
      </c>
      <c r="B94" s="41" t="s">
        <v>303</v>
      </c>
    </row>
    <row r="96" spans="1:2" x14ac:dyDescent="0.4">
      <c r="A96" s="3" t="s">
        <v>304</v>
      </c>
    </row>
    <row r="97" spans="1:5" x14ac:dyDescent="0.4">
      <c r="A97" s="4" t="s">
        <v>305</v>
      </c>
      <c r="B97" s="52">
        <v>0.95399999999999996</v>
      </c>
    </row>
    <row r="98" spans="1:5" x14ac:dyDescent="0.4">
      <c r="A98" t="s">
        <v>306</v>
      </c>
      <c r="B98" s="46">
        <v>9.58</v>
      </c>
      <c r="C98" s="46">
        <v>14.94</v>
      </c>
      <c r="D98" s="46">
        <v>34.119999999999997</v>
      </c>
    </row>
    <row r="99" spans="1:5" x14ac:dyDescent="0.4">
      <c r="A99" s="4" t="s">
        <v>307</v>
      </c>
      <c r="B99" s="4" t="s">
        <v>308</v>
      </c>
      <c r="C99" s="4" t="s">
        <v>309</v>
      </c>
      <c r="D99" s="4" t="s">
        <v>310</v>
      </c>
      <c r="E99" s="4" t="s">
        <v>311</v>
      </c>
    </row>
    <row r="100" spans="1:5" x14ac:dyDescent="0.4">
      <c r="A100" s="48" t="s">
        <v>312</v>
      </c>
      <c r="B100" s="53">
        <v>0.56899999999999995</v>
      </c>
      <c r="C100" s="53">
        <v>0.94599999999999995</v>
      </c>
      <c r="D100" s="53">
        <v>0.88400000000000001</v>
      </c>
      <c r="E100" s="54">
        <v>9.5820000000000007</v>
      </c>
    </row>
    <row r="101" spans="1:5" x14ac:dyDescent="0.4">
      <c r="A101" s="48" t="s">
        <v>313</v>
      </c>
      <c r="B101" s="53">
        <v>0.58699999999999997</v>
      </c>
      <c r="C101" s="53">
        <v>0.91100000000000003</v>
      </c>
      <c r="D101" s="53">
        <v>0.73499999999999999</v>
      </c>
      <c r="E101" s="54">
        <v>14.114000000000001</v>
      </c>
    </row>
    <row r="102" spans="1:5" x14ac:dyDescent="0.4">
      <c r="A102" s="48" t="s">
        <v>314</v>
      </c>
      <c r="B102" s="53">
        <v>0.85699999999999998</v>
      </c>
      <c r="C102" s="53">
        <v>1.0189999999999999</v>
      </c>
      <c r="D102" s="53">
        <v>0.251</v>
      </c>
      <c r="E102" s="54">
        <v>34.122999999999998</v>
      </c>
    </row>
    <row r="103" spans="1:5" x14ac:dyDescent="0.4">
      <c r="A103" s="48" t="s">
        <v>315</v>
      </c>
      <c r="B103" s="53">
        <v>0.81799999999999995</v>
      </c>
      <c r="C103" s="53">
        <v>1.1990000000000001</v>
      </c>
      <c r="D103" s="53">
        <v>0.62</v>
      </c>
      <c r="E103" s="54">
        <v>12.848000000000001</v>
      </c>
    </row>
    <row r="104" spans="1:5" x14ac:dyDescent="0.4">
      <c r="A104" s="48" t="s">
        <v>316</v>
      </c>
      <c r="B104" s="53">
        <v>0.52700000000000002</v>
      </c>
      <c r="C104" s="53">
        <v>0.995</v>
      </c>
      <c r="D104" s="53">
        <v>1.1859999999999999</v>
      </c>
      <c r="E104" s="54">
        <v>17.465</v>
      </c>
    </row>
    <row r="105" spans="1:5" x14ac:dyDescent="0.4">
      <c r="A105" s="48" t="s">
        <v>317</v>
      </c>
      <c r="B105" s="53">
        <v>1.248</v>
      </c>
      <c r="C105" s="53">
        <v>1.3879999999999999</v>
      </c>
      <c r="D105" s="53">
        <v>0.14899999999999999</v>
      </c>
      <c r="E105" s="54">
        <v>15.775</v>
      </c>
    </row>
    <row r="106" spans="1:5" x14ac:dyDescent="0.4">
      <c r="A106" s="48" t="s">
        <v>6</v>
      </c>
      <c r="B106" s="53">
        <v>0.95399999999999996</v>
      </c>
      <c r="C106" s="53">
        <v>1.2050000000000001</v>
      </c>
      <c r="D106" s="53">
        <v>0.35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23046875" defaultRowHeight="14.6" x14ac:dyDescent="0.4"/>
  <cols>
    <col min="1" max="1" width="36" customWidth="1"/>
    <col min="2" max="2" width="18" customWidth="1"/>
  </cols>
  <sheetData>
    <row r="1" spans="1:2" ht="15.9" customHeight="1" x14ac:dyDescent="0.45">
      <c r="A1" s="34" t="s">
        <v>318</v>
      </c>
    </row>
    <row r="2" spans="1:2" x14ac:dyDescent="0.4">
      <c r="A2" s="2" t="s">
        <v>319</v>
      </c>
    </row>
    <row r="4" spans="1:2" x14ac:dyDescent="0.4">
      <c r="A4" s="4" t="s">
        <v>320</v>
      </c>
      <c r="B4" s="30" t="s">
        <v>321</v>
      </c>
    </row>
    <row r="5" spans="1:2" x14ac:dyDescent="0.4">
      <c r="A5" s="4" t="s">
        <v>322</v>
      </c>
      <c r="B5" s="30" t="s">
        <v>323</v>
      </c>
    </row>
    <row r="6" spans="1:2" x14ac:dyDescent="0.4">
      <c r="A6" s="4" t="s">
        <v>324</v>
      </c>
      <c r="B6" s="30" t="s">
        <v>325</v>
      </c>
    </row>
    <row r="7" spans="1:2" x14ac:dyDescent="0.4">
      <c r="A7" s="4" t="s">
        <v>326</v>
      </c>
      <c r="B7" s="30" t="s">
        <v>327</v>
      </c>
    </row>
    <row r="8" spans="1:2" x14ac:dyDescent="0.4">
      <c r="A8" s="4" t="s">
        <v>328</v>
      </c>
      <c r="B8" s="30" t="s">
        <v>329</v>
      </c>
    </row>
    <row r="9" spans="1:2" x14ac:dyDescent="0.4">
      <c r="A9" s="4" t="s">
        <v>330</v>
      </c>
      <c r="B9" s="30" t="s">
        <v>331</v>
      </c>
    </row>
    <row r="10" spans="1:2" x14ac:dyDescent="0.4">
      <c r="A10" s="4" t="s">
        <v>332</v>
      </c>
      <c r="B10" s="30" t="s">
        <v>226</v>
      </c>
    </row>
    <row r="11" spans="1:2" x14ac:dyDescent="0.4">
      <c r="A11" s="4" t="s">
        <v>333</v>
      </c>
      <c r="B11" s="30" t="s">
        <v>334</v>
      </c>
    </row>
    <row r="12" spans="1:2" x14ac:dyDescent="0.4">
      <c r="A12" s="4" t="s">
        <v>335</v>
      </c>
      <c r="B12" s="30" t="s">
        <v>336</v>
      </c>
    </row>
    <row r="13" spans="1:2" x14ac:dyDescent="0.4">
      <c r="A13" s="4" t="s">
        <v>337</v>
      </c>
      <c r="B13" s="30" t="s">
        <v>338</v>
      </c>
    </row>
    <row r="14" spans="1:2" x14ac:dyDescent="0.4">
      <c r="A14" s="4" t="s">
        <v>339</v>
      </c>
      <c r="B14" s="30" t="s">
        <v>224</v>
      </c>
    </row>
    <row r="15" spans="1:2" x14ac:dyDescent="0.4">
      <c r="A15" s="4" t="s">
        <v>340</v>
      </c>
      <c r="B15" s="30" t="s">
        <v>226</v>
      </c>
    </row>
    <row r="16" spans="1:2" x14ac:dyDescent="0.4">
      <c r="A16" s="4" t="s">
        <v>341</v>
      </c>
      <c r="B16" s="30" t="s">
        <v>228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2026-07-27T11:26:06Z</dcterms:created>
  <dcterms:modified xsi:type="dcterms:W3CDTF">2026-07-30T09:35:58Z</dcterms:modified>
</cp:coreProperties>
</file>