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anni\Documents\Claude\Projects\FinSurf\output\Bayer_AG\2026-06-19_run1\"/>
    </mc:Choice>
  </mc:AlternateContent>
  <xr:revisionPtr revIDLastSave="0" documentId="13_ncr:1_{A7C2F1D5-D6C6-4C30-B139-D6FC5FF98490}" xr6:coauthVersionLast="47" xr6:coauthVersionMax="47" xr10:uidLastSave="{00000000-0000-0000-0000-000000000000}"/>
  <bookViews>
    <workbookView xWindow="-103" yWindow="-103" windowWidth="24892" windowHeight="14914" xr2:uid="{00000000-000D-0000-FFFF-FFFF00000000}"/>
  </bookViews>
  <sheets>
    <sheet name="Inputs" sheetId="1" r:id="rId1"/>
    <sheet name="DCF Base" sheetId="2" r:id="rId2"/>
    <sheet name="DCF Bull" sheetId="3" r:id="rId3"/>
    <sheet name="DCF Bear" sheetId="4" r:id="rId4"/>
    <sheet name="Adjustments" sheetId="5" r:id="rId5"/>
    <sheet name="Szenarien" sheetId="6" r:id="rId6"/>
    <sheet name="Outputs" sheetId="7" r:id="rId7"/>
  </sheets>
  <definedNames>
    <definedName name="OUT_EQUITY">'DCF Base'!$K$119</definedName>
    <definedName name="OUT_GROUP_EV">'DCF Base'!$K$109</definedName>
    <definedName name="OUT_MINORITY">Inputs!$B$15</definedName>
    <definedName name="OUT_NET_DEBT">Inputs!$B$14</definedName>
    <definedName name="OUT_PRICE_TARGET">'DCF Base'!$K$122</definedName>
    <definedName name="OUT_SEG_EV_1">'DCF Base'!$C$109</definedName>
    <definedName name="OUT_SEG_EV_2">'DCF Base'!$D$109</definedName>
    <definedName name="OUT_SEG_EV_3">'DCF Base'!$E$109</definedName>
    <definedName name="OUT_SEG_EV_4">'DCF Base'!$F$109</definedName>
    <definedName name="OUT_SEG_EV_5">'DCF Base'!$G$109</definedName>
    <definedName name="OUT_SEG_EV_6">'DCF Base'!$H$109</definedName>
    <definedName name="OUT_SEG_EV_7">'DCF Base'!$I$109</definedName>
    <definedName name="OUT_SEG_EV_8">'DCF Base'!$J$109</definedName>
    <definedName name="OUT_SEG_WACC_1">'DCF Base'!$C$16</definedName>
    <definedName name="OUT_SEG_WACC_2">'DCF Base'!$D$16</definedName>
    <definedName name="OUT_SEG_WACC_3">'DCF Base'!$E$16</definedName>
    <definedName name="OUT_SEG_WACC_4">'DCF Base'!$F$16</definedName>
    <definedName name="OUT_SEG_WACC_5">'DCF Base'!$G$16</definedName>
    <definedName name="OUT_SEG_WACC_6">'DCF Base'!$H$16</definedName>
    <definedName name="OUT_SEG_WACC_7">'DCF Base'!$I$16</definedName>
    <definedName name="OUT_SEG_WACC_8">'DCF Base'!$J$16</definedName>
    <definedName name="OUT_SHARES">Inputs!$B$11</definedName>
    <definedName name="OUT_WACC">'DCF Base'!$K$110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5" l="1"/>
  <c r="D8" i="5"/>
  <c r="D7" i="5"/>
  <c r="D6" i="5"/>
  <c r="D5" i="5"/>
  <c r="K120" i="4"/>
  <c r="A119" i="4"/>
  <c r="J106" i="4"/>
  <c r="I106" i="4"/>
  <c r="H106" i="4"/>
  <c r="G106" i="4"/>
  <c r="F106" i="4"/>
  <c r="F75" i="4"/>
  <c r="F81" i="4" s="1"/>
  <c r="F93" i="4" s="1"/>
  <c r="E75" i="4"/>
  <c r="E81" i="4" s="1"/>
  <c r="E93" i="4" s="1"/>
  <c r="J73" i="4"/>
  <c r="I73" i="4"/>
  <c r="H73" i="4"/>
  <c r="G73" i="4"/>
  <c r="F73" i="4"/>
  <c r="E73" i="4"/>
  <c r="D73" i="4"/>
  <c r="C73" i="4"/>
  <c r="J72" i="4"/>
  <c r="I72" i="4"/>
  <c r="H72" i="4"/>
  <c r="G72" i="4"/>
  <c r="F72" i="4"/>
  <c r="E72" i="4"/>
  <c r="D72" i="4"/>
  <c r="C72" i="4"/>
  <c r="J71" i="4"/>
  <c r="I71" i="4"/>
  <c r="H71" i="4"/>
  <c r="G71" i="4"/>
  <c r="F71" i="4"/>
  <c r="E71" i="4"/>
  <c r="D71" i="4"/>
  <c r="C71" i="4"/>
  <c r="J70" i="4"/>
  <c r="I70" i="4"/>
  <c r="H70" i="4"/>
  <c r="G70" i="4"/>
  <c r="F70" i="4"/>
  <c r="E70" i="4"/>
  <c r="D70" i="4"/>
  <c r="C70" i="4"/>
  <c r="J69" i="4"/>
  <c r="I69" i="4"/>
  <c r="H69" i="4"/>
  <c r="G69" i="4"/>
  <c r="F69" i="4"/>
  <c r="E69" i="4"/>
  <c r="D69" i="4"/>
  <c r="C69" i="4"/>
  <c r="F64" i="4"/>
  <c r="E64" i="4"/>
  <c r="C64" i="4"/>
  <c r="J63" i="4"/>
  <c r="H63" i="4"/>
  <c r="H64" i="4" s="1"/>
  <c r="G63" i="4"/>
  <c r="I47" i="4"/>
  <c r="G47" i="4"/>
  <c r="D47" i="4"/>
  <c r="J46" i="4"/>
  <c r="I46" i="4"/>
  <c r="H46" i="4"/>
  <c r="G46" i="4"/>
  <c r="E46" i="4"/>
  <c r="D46" i="4"/>
  <c r="J37" i="4"/>
  <c r="J43" i="4" s="1"/>
  <c r="J55" i="4" s="1"/>
  <c r="H37" i="4"/>
  <c r="H43" i="4" s="1"/>
  <c r="G37" i="4"/>
  <c r="G43" i="4" s="1"/>
  <c r="F37" i="4"/>
  <c r="F43" i="4" s="1"/>
  <c r="E37" i="4"/>
  <c r="E43" i="4" s="1"/>
  <c r="D35" i="4"/>
  <c r="D41" i="4" s="1"/>
  <c r="J31" i="4"/>
  <c r="I31" i="4"/>
  <c r="H31" i="4"/>
  <c r="G31" i="4"/>
  <c r="F31" i="4"/>
  <c r="E31" i="4"/>
  <c r="D31" i="4"/>
  <c r="D37" i="4" s="1"/>
  <c r="D43" i="4" s="1"/>
  <c r="C31" i="4"/>
  <c r="C37" i="4" s="1"/>
  <c r="C43" i="4" s="1"/>
  <c r="J30" i="4"/>
  <c r="J36" i="4" s="1"/>
  <c r="J42" i="4" s="1"/>
  <c r="J54" i="4" s="1"/>
  <c r="I30" i="4"/>
  <c r="H30" i="4"/>
  <c r="G30" i="4"/>
  <c r="F30" i="4"/>
  <c r="E30" i="4"/>
  <c r="D30" i="4"/>
  <c r="C30" i="4"/>
  <c r="J29" i="4"/>
  <c r="I29" i="4"/>
  <c r="H29" i="4"/>
  <c r="G29" i="4"/>
  <c r="F29" i="4"/>
  <c r="E29" i="4"/>
  <c r="D29" i="4"/>
  <c r="C29" i="4"/>
  <c r="J28" i="4"/>
  <c r="I28" i="4"/>
  <c r="H28" i="4"/>
  <c r="G28" i="4"/>
  <c r="F28" i="4"/>
  <c r="E28" i="4"/>
  <c r="D28" i="4"/>
  <c r="C28" i="4"/>
  <c r="J27" i="4"/>
  <c r="I27" i="4"/>
  <c r="H27" i="4"/>
  <c r="G27" i="4"/>
  <c r="F27" i="4"/>
  <c r="E27" i="4"/>
  <c r="D27" i="4"/>
  <c r="C27" i="4"/>
  <c r="J25" i="4"/>
  <c r="J49" i="4" s="1"/>
  <c r="I25" i="4"/>
  <c r="H25" i="4"/>
  <c r="H49" i="4" s="1"/>
  <c r="G25" i="4"/>
  <c r="G49" i="4" s="1"/>
  <c r="F25" i="4"/>
  <c r="F63" i="4" s="1"/>
  <c r="F87" i="4" s="1"/>
  <c r="E25" i="4"/>
  <c r="E63" i="4" s="1"/>
  <c r="E87" i="4" s="1"/>
  <c r="D25" i="4"/>
  <c r="C25" i="4"/>
  <c r="C63" i="4" s="1"/>
  <c r="C87" i="4" s="1"/>
  <c r="J24" i="4"/>
  <c r="J48" i="4" s="1"/>
  <c r="I24" i="4"/>
  <c r="I48" i="4" s="1"/>
  <c r="H24" i="4"/>
  <c r="G24" i="4"/>
  <c r="F24" i="4"/>
  <c r="E24" i="4"/>
  <c r="D24" i="4"/>
  <c r="C24" i="4"/>
  <c r="J23" i="4"/>
  <c r="J47" i="4" s="1"/>
  <c r="I23" i="4"/>
  <c r="H23" i="4"/>
  <c r="G23" i="4"/>
  <c r="F23" i="4"/>
  <c r="F47" i="4" s="1"/>
  <c r="E23" i="4"/>
  <c r="D23" i="4"/>
  <c r="C23" i="4"/>
  <c r="J22" i="4"/>
  <c r="J34" i="4" s="1"/>
  <c r="J40" i="4" s="1"/>
  <c r="I22" i="4"/>
  <c r="I34" i="4" s="1"/>
  <c r="I40" i="4" s="1"/>
  <c r="H22" i="4"/>
  <c r="H34" i="4" s="1"/>
  <c r="H40" i="4" s="1"/>
  <c r="H52" i="4" s="1"/>
  <c r="G22" i="4"/>
  <c r="G34" i="4" s="1"/>
  <c r="G40" i="4" s="1"/>
  <c r="G52" i="4" s="1"/>
  <c r="F22" i="4"/>
  <c r="F46" i="4" s="1"/>
  <c r="E22" i="4"/>
  <c r="D22" i="4"/>
  <c r="C22" i="4"/>
  <c r="C46" i="4" s="1"/>
  <c r="J21" i="4"/>
  <c r="I21" i="4"/>
  <c r="H21" i="4"/>
  <c r="G21" i="4"/>
  <c r="F21" i="4"/>
  <c r="E21" i="4"/>
  <c r="D21" i="4"/>
  <c r="C21" i="4"/>
  <c r="K120" i="3"/>
  <c r="A119" i="3"/>
  <c r="J106" i="3"/>
  <c r="I106" i="3"/>
  <c r="H106" i="3"/>
  <c r="G106" i="3"/>
  <c r="F106" i="3"/>
  <c r="J73" i="3"/>
  <c r="I73" i="3"/>
  <c r="H73" i="3"/>
  <c r="G73" i="3"/>
  <c r="F73" i="3"/>
  <c r="E73" i="3"/>
  <c r="D73" i="3"/>
  <c r="C73" i="3"/>
  <c r="J72" i="3"/>
  <c r="I72" i="3"/>
  <c r="H72" i="3"/>
  <c r="G72" i="3"/>
  <c r="F72" i="3"/>
  <c r="E72" i="3"/>
  <c r="D72" i="3"/>
  <c r="C72" i="3"/>
  <c r="J71" i="3"/>
  <c r="I71" i="3"/>
  <c r="H71" i="3"/>
  <c r="G71" i="3"/>
  <c r="F71" i="3"/>
  <c r="E71" i="3"/>
  <c r="D71" i="3"/>
  <c r="C71" i="3"/>
  <c r="J70" i="3"/>
  <c r="I70" i="3"/>
  <c r="H70" i="3"/>
  <c r="G70" i="3"/>
  <c r="F70" i="3"/>
  <c r="E70" i="3"/>
  <c r="D70" i="3"/>
  <c r="C70" i="3"/>
  <c r="J69" i="3"/>
  <c r="I69" i="3"/>
  <c r="H69" i="3"/>
  <c r="G69" i="3"/>
  <c r="F69" i="3"/>
  <c r="E69" i="3"/>
  <c r="D69" i="3"/>
  <c r="C69" i="3"/>
  <c r="G48" i="3"/>
  <c r="F48" i="3"/>
  <c r="I45" i="3"/>
  <c r="H45" i="3"/>
  <c r="G45" i="3"/>
  <c r="F45" i="3"/>
  <c r="E45" i="3"/>
  <c r="D45" i="3"/>
  <c r="D37" i="3"/>
  <c r="D43" i="3" s="1"/>
  <c r="J36" i="3"/>
  <c r="J42" i="3" s="1"/>
  <c r="J54" i="3" s="1"/>
  <c r="G36" i="3"/>
  <c r="G42" i="3" s="1"/>
  <c r="F36" i="3"/>
  <c r="F42" i="3" s="1"/>
  <c r="F54" i="3" s="1"/>
  <c r="I33" i="3"/>
  <c r="I39" i="3" s="1"/>
  <c r="H33" i="3"/>
  <c r="H39" i="3" s="1"/>
  <c r="G33" i="3"/>
  <c r="G39" i="3" s="1"/>
  <c r="F33" i="3"/>
  <c r="F39" i="3" s="1"/>
  <c r="E33" i="3"/>
  <c r="E39" i="3" s="1"/>
  <c r="D33" i="3"/>
  <c r="D39" i="3" s="1"/>
  <c r="C33" i="3"/>
  <c r="C39" i="3" s="1"/>
  <c r="C51" i="3" s="1"/>
  <c r="J31" i="3"/>
  <c r="I31" i="3"/>
  <c r="H31" i="3"/>
  <c r="G31" i="3"/>
  <c r="F31" i="3"/>
  <c r="E31" i="3"/>
  <c r="D31" i="3"/>
  <c r="C31" i="3"/>
  <c r="J30" i="3"/>
  <c r="I30" i="3"/>
  <c r="H30" i="3"/>
  <c r="G30" i="3"/>
  <c r="F30" i="3"/>
  <c r="E30" i="3"/>
  <c r="D30" i="3"/>
  <c r="C30" i="3"/>
  <c r="J29" i="3"/>
  <c r="I29" i="3"/>
  <c r="I35" i="3" s="1"/>
  <c r="I41" i="3" s="1"/>
  <c r="H29" i="3"/>
  <c r="H35" i="3" s="1"/>
  <c r="H41" i="3" s="1"/>
  <c r="G29" i="3"/>
  <c r="F29" i="3"/>
  <c r="E29" i="3"/>
  <c r="D29" i="3"/>
  <c r="C29" i="3"/>
  <c r="J28" i="3"/>
  <c r="I28" i="3"/>
  <c r="H28" i="3"/>
  <c r="G28" i="3"/>
  <c r="F28" i="3"/>
  <c r="E28" i="3"/>
  <c r="D28" i="3"/>
  <c r="C28" i="3"/>
  <c r="J27" i="3"/>
  <c r="I27" i="3"/>
  <c r="H27" i="3"/>
  <c r="G27" i="3"/>
  <c r="F27" i="3"/>
  <c r="E27" i="3"/>
  <c r="D27" i="3"/>
  <c r="C27" i="3"/>
  <c r="J25" i="3"/>
  <c r="I25" i="3"/>
  <c r="H25" i="3"/>
  <c r="G25" i="3"/>
  <c r="G63" i="3" s="1"/>
  <c r="F25" i="3"/>
  <c r="E25" i="3"/>
  <c r="D25" i="3"/>
  <c r="C25" i="3"/>
  <c r="C49" i="3" s="1"/>
  <c r="J24" i="3"/>
  <c r="J48" i="3" s="1"/>
  <c r="I24" i="3"/>
  <c r="I36" i="3" s="1"/>
  <c r="I42" i="3" s="1"/>
  <c r="H24" i="3"/>
  <c r="H36" i="3" s="1"/>
  <c r="H42" i="3" s="1"/>
  <c r="G24" i="3"/>
  <c r="F24" i="3"/>
  <c r="E24" i="3"/>
  <c r="E48" i="3" s="1"/>
  <c r="D24" i="3"/>
  <c r="D48" i="3" s="1"/>
  <c r="C24" i="3"/>
  <c r="C48" i="3" s="1"/>
  <c r="J23" i="3"/>
  <c r="J47" i="3" s="1"/>
  <c r="I23" i="3"/>
  <c r="I47" i="3" s="1"/>
  <c r="H23" i="3"/>
  <c r="H47" i="3" s="1"/>
  <c r="G23" i="3"/>
  <c r="F23" i="3"/>
  <c r="E23" i="3"/>
  <c r="D23" i="3"/>
  <c r="C23" i="3"/>
  <c r="J22" i="3"/>
  <c r="I22" i="3"/>
  <c r="H22" i="3"/>
  <c r="G22" i="3"/>
  <c r="F22" i="3"/>
  <c r="E22" i="3"/>
  <c r="D22" i="3"/>
  <c r="C22" i="3"/>
  <c r="J21" i="3"/>
  <c r="I21" i="3"/>
  <c r="H21" i="3"/>
  <c r="G21" i="3"/>
  <c r="F21" i="3"/>
  <c r="E21" i="3"/>
  <c r="D21" i="3"/>
  <c r="C21" i="3"/>
  <c r="C45" i="3" s="1"/>
  <c r="K120" i="2"/>
  <c r="A119" i="2"/>
  <c r="J106" i="2"/>
  <c r="I106" i="2"/>
  <c r="H106" i="2"/>
  <c r="G106" i="2"/>
  <c r="F106" i="2"/>
  <c r="J75" i="2"/>
  <c r="J81" i="2" s="1"/>
  <c r="I75" i="2"/>
  <c r="I81" i="2" s="1"/>
  <c r="I93" i="2" s="1"/>
  <c r="J73" i="2"/>
  <c r="I73" i="2"/>
  <c r="H73" i="2"/>
  <c r="G73" i="2"/>
  <c r="F73" i="2"/>
  <c r="E73" i="2"/>
  <c r="D73" i="2"/>
  <c r="C73" i="2"/>
  <c r="J72" i="2"/>
  <c r="I72" i="2"/>
  <c r="H72" i="2"/>
  <c r="G72" i="2"/>
  <c r="F72" i="2"/>
  <c r="E72" i="2"/>
  <c r="D72" i="2"/>
  <c r="C72" i="2"/>
  <c r="J71" i="2"/>
  <c r="I71" i="2"/>
  <c r="H71" i="2"/>
  <c r="G71" i="2"/>
  <c r="F71" i="2"/>
  <c r="E71" i="2"/>
  <c r="D71" i="2"/>
  <c r="C71" i="2"/>
  <c r="J70" i="2"/>
  <c r="I70" i="2"/>
  <c r="H70" i="2"/>
  <c r="G70" i="2"/>
  <c r="F70" i="2"/>
  <c r="E70" i="2"/>
  <c r="D70" i="2"/>
  <c r="C70" i="2"/>
  <c r="J69" i="2"/>
  <c r="I69" i="2"/>
  <c r="H69" i="2"/>
  <c r="G69" i="2"/>
  <c r="F69" i="2"/>
  <c r="E69" i="2"/>
  <c r="D69" i="2"/>
  <c r="C69" i="2"/>
  <c r="J63" i="2"/>
  <c r="I63" i="2"/>
  <c r="I87" i="2" s="1"/>
  <c r="H63" i="2"/>
  <c r="G63" i="2"/>
  <c r="G87" i="2" s="1"/>
  <c r="F63" i="2"/>
  <c r="F87" i="2" s="1"/>
  <c r="E63" i="2"/>
  <c r="D63" i="2"/>
  <c r="D64" i="2" s="1"/>
  <c r="G48" i="2"/>
  <c r="F48" i="2"/>
  <c r="E48" i="2"/>
  <c r="D48" i="2"/>
  <c r="J47" i="2"/>
  <c r="H47" i="2"/>
  <c r="D33" i="2"/>
  <c r="D39" i="2" s="1"/>
  <c r="C33" i="2"/>
  <c r="C39" i="2" s="1"/>
  <c r="J31" i="2"/>
  <c r="I31" i="2"/>
  <c r="I37" i="2" s="1"/>
  <c r="I43" i="2" s="1"/>
  <c r="I55" i="2" s="1"/>
  <c r="H31" i="2"/>
  <c r="G31" i="2"/>
  <c r="F31" i="2"/>
  <c r="E31" i="2"/>
  <c r="D31" i="2"/>
  <c r="C31" i="2"/>
  <c r="J30" i="2"/>
  <c r="I30" i="2"/>
  <c r="H30" i="2"/>
  <c r="G30" i="2"/>
  <c r="G36" i="2" s="1"/>
  <c r="G42" i="2" s="1"/>
  <c r="F30" i="2"/>
  <c r="F36" i="2" s="1"/>
  <c r="F42" i="2" s="1"/>
  <c r="F54" i="2" s="1"/>
  <c r="E30" i="2"/>
  <c r="D30" i="2"/>
  <c r="C30" i="2"/>
  <c r="J29" i="2"/>
  <c r="I29" i="2"/>
  <c r="H29" i="2"/>
  <c r="G29" i="2"/>
  <c r="F29" i="2"/>
  <c r="E29" i="2"/>
  <c r="D29" i="2"/>
  <c r="C29" i="2"/>
  <c r="J28" i="2"/>
  <c r="I28" i="2"/>
  <c r="H28" i="2"/>
  <c r="G28" i="2"/>
  <c r="F28" i="2"/>
  <c r="E28" i="2"/>
  <c r="D28" i="2"/>
  <c r="C28" i="2"/>
  <c r="J27" i="2"/>
  <c r="I27" i="2"/>
  <c r="H27" i="2"/>
  <c r="G27" i="2"/>
  <c r="F27" i="2"/>
  <c r="E27" i="2"/>
  <c r="D27" i="2"/>
  <c r="C27" i="2"/>
  <c r="J25" i="2"/>
  <c r="I25" i="2"/>
  <c r="I49" i="2" s="1"/>
  <c r="H25" i="2"/>
  <c r="H49" i="2" s="1"/>
  <c r="G25" i="2"/>
  <c r="G49" i="2" s="1"/>
  <c r="F25" i="2"/>
  <c r="F49" i="2" s="1"/>
  <c r="E25" i="2"/>
  <c r="E49" i="2" s="1"/>
  <c r="D25" i="2"/>
  <c r="C25" i="2"/>
  <c r="J24" i="2"/>
  <c r="I24" i="2"/>
  <c r="I48" i="2" s="1"/>
  <c r="H24" i="2"/>
  <c r="H48" i="2" s="1"/>
  <c r="G24" i="2"/>
  <c r="F24" i="2"/>
  <c r="E24" i="2"/>
  <c r="D24" i="2"/>
  <c r="C24" i="2"/>
  <c r="J23" i="2"/>
  <c r="I23" i="2"/>
  <c r="I47" i="2" s="1"/>
  <c r="H23" i="2"/>
  <c r="G23" i="2"/>
  <c r="G47" i="2" s="1"/>
  <c r="F23" i="2"/>
  <c r="E23" i="2"/>
  <c r="E35" i="2" s="1"/>
  <c r="E41" i="2" s="1"/>
  <c r="D23" i="2"/>
  <c r="D35" i="2" s="1"/>
  <c r="D41" i="2" s="1"/>
  <c r="C23" i="2"/>
  <c r="C47" i="2" s="1"/>
  <c r="J22" i="2"/>
  <c r="J46" i="2" s="1"/>
  <c r="I22" i="2"/>
  <c r="H22" i="2"/>
  <c r="H46" i="2" s="1"/>
  <c r="G22" i="2"/>
  <c r="F22" i="2"/>
  <c r="E22" i="2"/>
  <c r="D22" i="2"/>
  <c r="C22" i="2"/>
  <c r="J21" i="2"/>
  <c r="I21" i="2"/>
  <c r="H21" i="2"/>
  <c r="G21" i="2"/>
  <c r="F21" i="2"/>
  <c r="E21" i="2"/>
  <c r="D21" i="2"/>
  <c r="D45" i="2" s="1"/>
  <c r="C21" i="2"/>
  <c r="C45" i="2" s="1"/>
  <c r="B30" i="1"/>
  <c r="B29" i="1"/>
  <c r="G16" i="4" s="1"/>
  <c r="B28" i="1"/>
  <c r="B23" i="1"/>
  <c r="B26" i="1" s="1"/>
  <c r="B31" i="1" s="1"/>
  <c r="B14" i="1"/>
  <c r="F46" i="3" l="1"/>
  <c r="F34" i="3"/>
  <c r="F40" i="3" s="1"/>
  <c r="F52" i="3" s="1"/>
  <c r="J37" i="2"/>
  <c r="J43" i="2" s="1"/>
  <c r="J49" i="2"/>
  <c r="D47" i="2"/>
  <c r="D53" i="2" s="1"/>
  <c r="D51" i="2"/>
  <c r="J35" i="2"/>
  <c r="J41" i="2" s="1"/>
  <c r="J53" i="2" s="1"/>
  <c r="E47" i="2"/>
  <c r="E53" i="2" s="1"/>
  <c r="G54" i="3"/>
  <c r="D55" i="3"/>
  <c r="D61" i="3" s="1"/>
  <c r="J45" i="3"/>
  <c r="J33" i="3"/>
  <c r="J39" i="3" s="1"/>
  <c r="J51" i="3" s="1"/>
  <c r="C46" i="3"/>
  <c r="C34" i="3"/>
  <c r="C40" i="3" s="1"/>
  <c r="J45" i="4"/>
  <c r="J33" i="4"/>
  <c r="J39" i="4" s="1"/>
  <c r="J51" i="4" s="1"/>
  <c r="J57" i="4" s="1"/>
  <c r="D46" i="3"/>
  <c r="D34" i="3"/>
  <c r="D40" i="3" s="1"/>
  <c r="D52" i="3" s="1"/>
  <c r="D58" i="3" s="1"/>
  <c r="G87" i="4"/>
  <c r="G75" i="4"/>
  <c r="G81" i="4" s="1"/>
  <c r="G93" i="4" s="1"/>
  <c r="G64" i="4"/>
  <c r="D34" i="4"/>
  <c r="D40" i="4" s="1"/>
  <c r="D52" i="4" s="1"/>
  <c r="D49" i="3"/>
  <c r="D63" i="3"/>
  <c r="E34" i="4"/>
  <c r="E40" i="4" s="1"/>
  <c r="E52" i="4" s="1"/>
  <c r="E37" i="3"/>
  <c r="E43" i="3" s="1"/>
  <c r="F37" i="3"/>
  <c r="F43" i="3" s="1"/>
  <c r="F55" i="3" s="1"/>
  <c r="H48" i="3"/>
  <c r="H54" i="3" s="1"/>
  <c r="J34" i="2"/>
  <c r="J40" i="2" s="1"/>
  <c r="J52" i="2" s="1"/>
  <c r="J58" i="2" s="1"/>
  <c r="I48" i="3"/>
  <c r="I54" i="3" s="1"/>
  <c r="C35" i="2"/>
  <c r="C41" i="2" s="1"/>
  <c r="C53" i="2" s="1"/>
  <c r="F35" i="2"/>
  <c r="F41" i="2" s="1"/>
  <c r="G55" i="4"/>
  <c r="G61" i="4" s="1"/>
  <c r="H55" i="4"/>
  <c r="H35" i="2"/>
  <c r="H41" i="2" s="1"/>
  <c r="H53" i="2" s="1"/>
  <c r="C51" i="2"/>
  <c r="F47" i="2"/>
  <c r="I53" i="3"/>
  <c r="I59" i="3" s="1"/>
  <c r="C35" i="4"/>
  <c r="C41" i="4" s="1"/>
  <c r="G35" i="2"/>
  <c r="G41" i="2" s="1"/>
  <c r="G53" i="2" s="1"/>
  <c r="C75" i="4"/>
  <c r="C81" i="4" s="1"/>
  <c r="C93" i="4" s="1"/>
  <c r="H53" i="3"/>
  <c r="I35" i="2"/>
  <c r="I41" i="2" s="1"/>
  <c r="I53" i="2" s="1"/>
  <c r="F51" i="3"/>
  <c r="I52" i="4"/>
  <c r="E33" i="2"/>
  <c r="E39" i="2" s="1"/>
  <c r="G54" i="2"/>
  <c r="G51" i="3"/>
  <c r="F33" i="2"/>
  <c r="F39" i="2" s="1"/>
  <c r="D36" i="2"/>
  <c r="D42" i="2" s="1"/>
  <c r="D54" i="2" s="1"/>
  <c r="E36" i="2"/>
  <c r="E42" i="2" s="1"/>
  <c r="E54" i="2" s="1"/>
  <c r="I51" i="3"/>
  <c r="C34" i="4"/>
  <c r="C40" i="4" s="1"/>
  <c r="C52" i="4" s="1"/>
  <c r="F34" i="4"/>
  <c r="F40" i="4" s="1"/>
  <c r="F52" i="4" s="1"/>
  <c r="F58" i="4" s="1"/>
  <c r="E49" i="4"/>
  <c r="E55" i="4" s="1"/>
  <c r="J35" i="3"/>
  <c r="J41" i="3" s="1"/>
  <c r="J53" i="3" s="1"/>
  <c r="F49" i="4"/>
  <c r="F55" i="4" s="1"/>
  <c r="F61" i="4" s="1"/>
  <c r="D11" i="5"/>
  <c r="D12" i="5" s="1"/>
  <c r="C36" i="3"/>
  <c r="C42" i="3" s="1"/>
  <c r="C54" i="3" s="1"/>
  <c r="D16" i="4"/>
  <c r="D36" i="3"/>
  <c r="D42" i="3" s="1"/>
  <c r="D54" i="3" s="1"/>
  <c r="E36" i="3"/>
  <c r="E42" i="3" s="1"/>
  <c r="E54" i="3" s="1"/>
  <c r="G34" i="3"/>
  <c r="G40" i="3" s="1"/>
  <c r="G46" i="3"/>
  <c r="J61" i="4"/>
  <c r="F58" i="3"/>
  <c r="E49" i="3"/>
  <c r="E55" i="3" s="1"/>
  <c r="E61" i="3" s="1"/>
  <c r="D65" i="2"/>
  <c r="D88" i="2"/>
  <c r="F49" i="3"/>
  <c r="I37" i="4"/>
  <c r="I43" i="4" s="1"/>
  <c r="I49" i="4"/>
  <c r="I63" i="4"/>
  <c r="J87" i="4"/>
  <c r="J75" i="4"/>
  <c r="J81" i="4" s="1"/>
  <c r="J93" i="4" s="1"/>
  <c r="J99" i="4" s="1"/>
  <c r="J64" i="4"/>
  <c r="E47" i="4"/>
  <c r="E35" i="4"/>
  <c r="E41" i="4" s="1"/>
  <c r="E53" i="4" s="1"/>
  <c r="C88" i="4"/>
  <c r="C76" i="4"/>
  <c r="C82" i="4" s="1"/>
  <c r="C94" i="4" s="1"/>
  <c r="C65" i="4"/>
  <c r="G35" i="4"/>
  <c r="G41" i="4" s="1"/>
  <c r="G53" i="4" s="1"/>
  <c r="G59" i="4" s="1"/>
  <c r="C47" i="4"/>
  <c r="C53" i="4" s="1"/>
  <c r="F65" i="4"/>
  <c r="F88" i="4"/>
  <c r="F76" i="4"/>
  <c r="F82" i="4" s="1"/>
  <c r="F94" i="4" s="1"/>
  <c r="I107" i="4"/>
  <c r="E63" i="3"/>
  <c r="J107" i="4"/>
  <c r="F63" i="3"/>
  <c r="G87" i="3"/>
  <c r="G64" i="3"/>
  <c r="G75" i="3"/>
  <c r="G81" i="3" s="1"/>
  <c r="G93" i="3" s="1"/>
  <c r="F16" i="4"/>
  <c r="F99" i="4" s="1"/>
  <c r="C16" i="4"/>
  <c r="C99" i="4" s="1"/>
  <c r="E16" i="2"/>
  <c r="E16" i="4"/>
  <c r="E58" i="4" s="1"/>
  <c r="J16" i="2"/>
  <c r="J107" i="2" s="1"/>
  <c r="I16" i="2"/>
  <c r="I107" i="2" s="1"/>
  <c r="H16" i="2"/>
  <c r="H107" i="2" s="1"/>
  <c r="G16" i="2"/>
  <c r="G107" i="2" s="1"/>
  <c r="F16" i="2"/>
  <c r="C16" i="2"/>
  <c r="D16" i="2"/>
  <c r="D60" i="2" s="1"/>
  <c r="J16" i="3"/>
  <c r="J60" i="3" s="1"/>
  <c r="I16" i="3"/>
  <c r="I107" i="3" s="1"/>
  <c r="H16" i="3"/>
  <c r="H107" i="3" s="1"/>
  <c r="G16" i="3"/>
  <c r="G107" i="3" s="1"/>
  <c r="F16" i="3"/>
  <c r="F60" i="3" s="1"/>
  <c r="E16" i="3"/>
  <c r="E60" i="3" s="1"/>
  <c r="D16" i="3"/>
  <c r="D60" i="3" s="1"/>
  <c r="C16" i="3"/>
  <c r="J16" i="4"/>
  <c r="I16" i="4"/>
  <c r="I58" i="4" s="1"/>
  <c r="H16" i="4"/>
  <c r="H58" i="4" s="1"/>
  <c r="E34" i="3"/>
  <c r="E40" i="3" s="1"/>
  <c r="E46" i="3"/>
  <c r="H46" i="3"/>
  <c r="H34" i="3"/>
  <c r="H40" i="3" s="1"/>
  <c r="H52" i="3" s="1"/>
  <c r="F57" i="3"/>
  <c r="E88" i="4"/>
  <c r="E65" i="4"/>
  <c r="E76" i="4"/>
  <c r="E82" i="4" s="1"/>
  <c r="E94" i="4" s="1"/>
  <c r="E100" i="4" s="1"/>
  <c r="D76" i="2"/>
  <c r="D82" i="2" s="1"/>
  <c r="D94" i="2" s="1"/>
  <c r="G99" i="4"/>
  <c r="C63" i="3"/>
  <c r="C37" i="3"/>
  <c r="C43" i="3" s="1"/>
  <c r="C55" i="3" s="1"/>
  <c r="C61" i="3" s="1"/>
  <c r="I46" i="3"/>
  <c r="I34" i="3"/>
  <c r="I40" i="3" s="1"/>
  <c r="I52" i="3" s="1"/>
  <c r="G37" i="3"/>
  <c r="G43" i="3" s="1"/>
  <c r="G49" i="3"/>
  <c r="G58" i="4"/>
  <c r="G65" i="4"/>
  <c r="G88" i="4"/>
  <c r="J46" i="3"/>
  <c r="J34" i="3"/>
  <c r="J40" i="3" s="1"/>
  <c r="J52" i="3" s="1"/>
  <c r="H49" i="3"/>
  <c r="H37" i="3"/>
  <c r="H43" i="3" s="1"/>
  <c r="H55" i="3" s="1"/>
  <c r="H63" i="3"/>
  <c r="D51" i="3"/>
  <c r="D57" i="3" s="1"/>
  <c r="H88" i="4"/>
  <c r="H65" i="4"/>
  <c r="C36" i="2"/>
  <c r="C42" i="2" s="1"/>
  <c r="C48" i="2"/>
  <c r="C35" i="3"/>
  <c r="C41" i="3" s="1"/>
  <c r="C53" i="3" s="1"/>
  <c r="C59" i="3" s="1"/>
  <c r="I49" i="3"/>
  <c r="I37" i="3"/>
  <c r="I43" i="3" s="1"/>
  <c r="I63" i="3"/>
  <c r="E51" i="3"/>
  <c r="E57" i="3" s="1"/>
  <c r="H47" i="4"/>
  <c r="H35" i="4"/>
  <c r="H41" i="4" s="1"/>
  <c r="H53" i="4" s="1"/>
  <c r="D35" i="3"/>
  <c r="D41" i="3" s="1"/>
  <c r="J63" i="3"/>
  <c r="J37" i="3"/>
  <c r="J43" i="3" s="1"/>
  <c r="J49" i="3"/>
  <c r="C33" i="4"/>
  <c r="C39" i="4" s="1"/>
  <c r="C45" i="4"/>
  <c r="I35" i="4"/>
  <c r="I41" i="4" s="1"/>
  <c r="I53" i="4" s="1"/>
  <c r="I59" i="4" s="1"/>
  <c r="J52" i="4"/>
  <c r="J58" i="4" s="1"/>
  <c r="G45" i="2"/>
  <c r="G33" i="2"/>
  <c r="G39" i="2" s="1"/>
  <c r="G51" i="2" s="1"/>
  <c r="E75" i="2"/>
  <c r="E81" i="2" s="1"/>
  <c r="E64" i="2"/>
  <c r="E35" i="3"/>
  <c r="E41" i="3" s="1"/>
  <c r="E53" i="3" s="1"/>
  <c r="E59" i="3" s="1"/>
  <c r="J35" i="4"/>
  <c r="J41" i="4" s="1"/>
  <c r="J53" i="4" s="1"/>
  <c r="J59" i="4" s="1"/>
  <c r="H45" i="2"/>
  <c r="H33" i="2"/>
  <c r="H39" i="2" s="1"/>
  <c r="H51" i="2" s="1"/>
  <c r="H57" i="2" s="1"/>
  <c r="F75" i="2"/>
  <c r="F81" i="2" s="1"/>
  <c r="F93" i="2" s="1"/>
  <c r="F64" i="2"/>
  <c r="F35" i="3"/>
  <c r="F41" i="3" s="1"/>
  <c r="E33" i="4"/>
  <c r="E39" i="4" s="1"/>
  <c r="E45" i="4"/>
  <c r="C36" i="4"/>
  <c r="C42" i="4" s="1"/>
  <c r="C48" i="4"/>
  <c r="D53" i="4"/>
  <c r="I45" i="2"/>
  <c r="I33" i="2"/>
  <c r="I39" i="2" s="1"/>
  <c r="I51" i="2" s="1"/>
  <c r="C47" i="3"/>
  <c r="F33" i="4"/>
  <c r="F39" i="4" s="1"/>
  <c r="F45" i="4"/>
  <c r="D36" i="4"/>
  <c r="D42" i="4" s="1"/>
  <c r="D48" i="4"/>
  <c r="H36" i="2"/>
  <c r="H42" i="2" s="1"/>
  <c r="H54" i="2" s="1"/>
  <c r="H75" i="2"/>
  <c r="H81" i="2" s="1"/>
  <c r="H64" i="2"/>
  <c r="H87" i="2"/>
  <c r="D47" i="3"/>
  <c r="E36" i="4"/>
  <c r="E42" i="4" s="1"/>
  <c r="E48" i="4"/>
  <c r="F35" i="4"/>
  <c r="F41" i="4" s="1"/>
  <c r="F53" i="4" s="1"/>
  <c r="C34" i="2"/>
  <c r="C40" i="2" s="1"/>
  <c r="I36" i="2"/>
  <c r="I42" i="2" s="1"/>
  <c r="I54" i="2" s="1"/>
  <c r="E45" i="2"/>
  <c r="E51" i="2" s="1"/>
  <c r="E57" i="2" s="1"/>
  <c r="E47" i="3"/>
  <c r="F107" i="3"/>
  <c r="H33" i="4"/>
  <c r="H39" i="4" s="1"/>
  <c r="H45" i="4"/>
  <c r="F36" i="4"/>
  <c r="F42" i="4" s="1"/>
  <c r="F48" i="4"/>
  <c r="J60" i="4"/>
  <c r="D34" i="2"/>
  <c r="D40" i="2" s="1"/>
  <c r="J36" i="2"/>
  <c r="J42" i="2" s="1"/>
  <c r="J48" i="2"/>
  <c r="F45" i="2"/>
  <c r="F51" i="2" s="1"/>
  <c r="J64" i="2"/>
  <c r="J87" i="2"/>
  <c r="J93" i="2" s="1"/>
  <c r="J99" i="2" s="1"/>
  <c r="F47" i="3"/>
  <c r="I33" i="4"/>
  <c r="I39" i="4" s="1"/>
  <c r="I51" i="4" s="1"/>
  <c r="I57" i="4" s="1"/>
  <c r="G36" i="4"/>
  <c r="G42" i="4" s="1"/>
  <c r="G48" i="4"/>
  <c r="E46" i="2"/>
  <c r="E34" i="2"/>
  <c r="E40" i="2" s="1"/>
  <c r="E52" i="2" s="1"/>
  <c r="C63" i="2"/>
  <c r="C49" i="2"/>
  <c r="C37" i="2"/>
  <c r="C43" i="2" s="1"/>
  <c r="C55" i="2" s="1"/>
  <c r="H36" i="4"/>
  <c r="H42" i="4" s="1"/>
  <c r="H48" i="4"/>
  <c r="I45" i="4"/>
  <c r="F34" i="2"/>
  <c r="F40" i="2" s="1"/>
  <c r="D37" i="2"/>
  <c r="D43" i="2" s="1"/>
  <c r="D49" i="2"/>
  <c r="D46" i="2"/>
  <c r="G34" i="2"/>
  <c r="G40" i="2" s="1"/>
  <c r="E37" i="2"/>
  <c r="E43" i="2" s="1"/>
  <c r="E55" i="2" s="1"/>
  <c r="E61" i="2" s="1"/>
  <c r="F46" i="2"/>
  <c r="I64" i="2"/>
  <c r="H34" i="2"/>
  <c r="H40" i="2" s="1"/>
  <c r="H52" i="2" s="1"/>
  <c r="F37" i="2"/>
  <c r="F43" i="2" s="1"/>
  <c r="F55" i="2" s="1"/>
  <c r="G46" i="2"/>
  <c r="G76" i="4"/>
  <c r="G82" i="4" s="1"/>
  <c r="J45" i="2"/>
  <c r="J33" i="2"/>
  <c r="J39" i="2" s="1"/>
  <c r="J51" i="2" s="1"/>
  <c r="I34" i="2"/>
  <c r="I40" i="2" s="1"/>
  <c r="H76" i="4"/>
  <c r="H82" i="4" s="1"/>
  <c r="D87" i="2"/>
  <c r="D75" i="2"/>
  <c r="D81" i="2" s="1"/>
  <c r="D93" i="2" s="1"/>
  <c r="D33" i="4"/>
  <c r="D39" i="4" s="1"/>
  <c r="D45" i="4"/>
  <c r="G75" i="2"/>
  <c r="G81" i="2" s="1"/>
  <c r="G93" i="2" s="1"/>
  <c r="G64" i="2"/>
  <c r="G45" i="4"/>
  <c r="G33" i="4"/>
  <c r="G39" i="4" s="1"/>
  <c r="G51" i="4" s="1"/>
  <c r="G57" i="4" s="1"/>
  <c r="C46" i="2"/>
  <c r="G37" i="2"/>
  <c r="G43" i="2" s="1"/>
  <c r="G55" i="2" s="1"/>
  <c r="H37" i="2"/>
  <c r="H43" i="2" s="1"/>
  <c r="H55" i="2" s="1"/>
  <c r="I46" i="2"/>
  <c r="E87" i="2"/>
  <c r="H75" i="4"/>
  <c r="H81" i="4" s="1"/>
  <c r="H87" i="4"/>
  <c r="H51" i="3"/>
  <c r="G47" i="3"/>
  <c r="G35" i="3"/>
  <c r="G41" i="3" s="1"/>
  <c r="G53" i="3" s="1"/>
  <c r="H61" i="4"/>
  <c r="D63" i="4"/>
  <c r="D49" i="4"/>
  <c r="D55" i="4" s="1"/>
  <c r="D61" i="4" s="1"/>
  <c r="I36" i="4"/>
  <c r="I42" i="4" s="1"/>
  <c r="I54" i="4" s="1"/>
  <c r="C49" i="4"/>
  <c r="C55" i="4" s="1"/>
  <c r="C61" i="4" s="1"/>
  <c r="G107" i="4"/>
  <c r="E99" i="4" l="1"/>
  <c r="C57" i="2"/>
  <c r="D100" i="2"/>
  <c r="C52" i="3"/>
  <c r="C58" i="3" s="1"/>
  <c r="G54" i="4"/>
  <c r="G60" i="4" s="1"/>
  <c r="F53" i="2"/>
  <c r="F59" i="2" s="1"/>
  <c r="H93" i="4"/>
  <c r="H61" i="2"/>
  <c r="H60" i="2"/>
  <c r="G61" i="2"/>
  <c r="G52" i="2"/>
  <c r="G58" i="2" s="1"/>
  <c r="F57" i="2"/>
  <c r="E93" i="2"/>
  <c r="E99" i="2" s="1"/>
  <c r="E59" i="2"/>
  <c r="G57" i="2"/>
  <c r="G60" i="2"/>
  <c r="J55" i="2"/>
  <c r="J61" i="2" s="1"/>
  <c r="G99" i="2"/>
  <c r="C100" i="4"/>
  <c r="D64" i="3"/>
  <c r="D87" i="3"/>
  <c r="D75" i="3"/>
  <c r="D81" i="3" s="1"/>
  <c r="H107" i="4"/>
  <c r="D58" i="4"/>
  <c r="E59" i="4"/>
  <c r="I60" i="4"/>
  <c r="D59" i="4"/>
  <c r="F107" i="4"/>
  <c r="C77" i="4"/>
  <c r="C83" i="4" s="1"/>
  <c r="C66" i="4"/>
  <c r="C89" i="4"/>
  <c r="H93" i="2"/>
  <c r="H99" i="2" s="1"/>
  <c r="H66" i="4"/>
  <c r="H77" i="4"/>
  <c r="H83" i="4" s="1"/>
  <c r="H89" i="4"/>
  <c r="J54" i="2"/>
  <c r="J60" i="2" s="1"/>
  <c r="D52" i="2"/>
  <c r="D58" i="2" s="1"/>
  <c r="H59" i="3"/>
  <c r="H58" i="3"/>
  <c r="D51" i="4"/>
  <c r="D57" i="4" s="1"/>
  <c r="J65" i="4"/>
  <c r="J76" i="4"/>
  <c r="J82" i="4" s="1"/>
  <c r="J88" i="4"/>
  <c r="C51" i="4"/>
  <c r="C57" i="4" s="1"/>
  <c r="H51" i="4"/>
  <c r="H57" i="4" s="1"/>
  <c r="F60" i="2"/>
  <c r="I52" i="2"/>
  <c r="I58" i="2" s="1"/>
  <c r="D57" i="2"/>
  <c r="I75" i="4"/>
  <c r="I81" i="4" s="1"/>
  <c r="I87" i="4"/>
  <c r="I64" i="4"/>
  <c r="C61" i="2"/>
  <c r="J87" i="3"/>
  <c r="J64" i="3"/>
  <c r="J75" i="3"/>
  <c r="J81" i="3" s="1"/>
  <c r="J93" i="3" s="1"/>
  <c r="J99" i="3" s="1"/>
  <c r="E61" i="4"/>
  <c r="D53" i="3"/>
  <c r="D59" i="3" s="1"/>
  <c r="G60" i="3"/>
  <c r="F100" i="4"/>
  <c r="J59" i="2"/>
  <c r="G94" i="4"/>
  <c r="G100" i="4" s="1"/>
  <c r="I60" i="2"/>
  <c r="C59" i="4"/>
  <c r="C52" i="2"/>
  <c r="C58" i="2" s="1"/>
  <c r="H59" i="4"/>
  <c r="F66" i="4"/>
  <c r="F77" i="4"/>
  <c r="F83" i="4" s="1"/>
  <c r="F89" i="4"/>
  <c r="D59" i="2"/>
  <c r="F61" i="2"/>
  <c r="F53" i="3"/>
  <c r="F59" i="3" s="1"/>
  <c r="I58" i="3"/>
  <c r="C60" i="3"/>
  <c r="C57" i="3"/>
  <c r="C58" i="4"/>
  <c r="H58" i="2"/>
  <c r="F88" i="2"/>
  <c r="F65" i="2"/>
  <c r="F76" i="2"/>
  <c r="F82" i="2" s="1"/>
  <c r="F94" i="2" s="1"/>
  <c r="F100" i="2" s="1"/>
  <c r="J59" i="3"/>
  <c r="C87" i="3"/>
  <c r="C64" i="3"/>
  <c r="C75" i="3"/>
  <c r="C81" i="3" s="1"/>
  <c r="C93" i="3" s="1"/>
  <c r="C99" i="3" s="1"/>
  <c r="G57" i="3"/>
  <c r="E66" i="4"/>
  <c r="E77" i="4"/>
  <c r="E83" i="4" s="1"/>
  <c r="E89" i="4"/>
  <c r="D55" i="2"/>
  <c r="D61" i="2" s="1"/>
  <c r="F52" i="2"/>
  <c r="F58" i="2" s="1"/>
  <c r="H64" i="3"/>
  <c r="H87" i="3"/>
  <c r="H75" i="3"/>
  <c r="H81" i="3" s="1"/>
  <c r="H93" i="3" s="1"/>
  <c r="H99" i="3" s="1"/>
  <c r="F87" i="3"/>
  <c r="F64" i="3"/>
  <c r="F75" i="3"/>
  <c r="F81" i="3" s="1"/>
  <c r="F93" i="3" s="1"/>
  <c r="F99" i="3" s="1"/>
  <c r="H61" i="3"/>
  <c r="E64" i="3"/>
  <c r="E87" i="3"/>
  <c r="E75" i="3"/>
  <c r="E81" i="3" s="1"/>
  <c r="E93" i="3" s="1"/>
  <c r="E99" i="3" s="1"/>
  <c r="I57" i="2"/>
  <c r="H59" i="2"/>
  <c r="F107" i="2"/>
  <c r="J55" i="3"/>
  <c r="J61" i="3" s="1"/>
  <c r="G59" i="2"/>
  <c r="J57" i="2"/>
  <c r="G66" i="4"/>
  <c r="G77" i="4"/>
  <c r="G83" i="4" s="1"/>
  <c r="G89" i="4"/>
  <c r="H60" i="3"/>
  <c r="I57" i="3"/>
  <c r="C54" i="4"/>
  <c r="C60" i="4" s="1"/>
  <c r="I55" i="4"/>
  <c r="I61" i="4" s="1"/>
  <c r="G59" i="3"/>
  <c r="C75" i="2"/>
  <c r="C81" i="2" s="1"/>
  <c r="C87" i="2"/>
  <c r="C64" i="2"/>
  <c r="E58" i="2"/>
  <c r="E51" i="4"/>
  <c r="E57" i="4" s="1"/>
  <c r="G55" i="3"/>
  <c r="G61" i="3" s="1"/>
  <c r="E60" i="2"/>
  <c r="H57" i="3"/>
  <c r="F59" i="4"/>
  <c r="H99" i="4"/>
  <c r="E54" i="4"/>
  <c r="E60" i="4" s="1"/>
  <c r="F99" i="2"/>
  <c r="I64" i="3"/>
  <c r="I75" i="3"/>
  <c r="I81" i="3" s="1"/>
  <c r="I87" i="3"/>
  <c r="I60" i="3"/>
  <c r="H65" i="2"/>
  <c r="H76" i="2"/>
  <c r="H82" i="2" s="1"/>
  <c r="H88" i="2"/>
  <c r="J65" i="2"/>
  <c r="J76" i="2"/>
  <c r="J82" i="2" s="1"/>
  <c r="J88" i="2"/>
  <c r="C54" i="2"/>
  <c r="C60" i="2" s="1"/>
  <c r="J107" i="3"/>
  <c r="J57" i="3"/>
  <c r="E88" i="2"/>
  <c r="E65" i="2"/>
  <c r="E76" i="2"/>
  <c r="E82" i="2" s="1"/>
  <c r="E94" i="2" s="1"/>
  <c r="E100" i="2" s="1"/>
  <c r="G99" i="3"/>
  <c r="G76" i="3"/>
  <c r="G82" i="3" s="1"/>
  <c r="G88" i="3"/>
  <c r="G65" i="3"/>
  <c r="G76" i="2"/>
  <c r="G82" i="2" s="1"/>
  <c r="G65" i="2"/>
  <c r="G88" i="2"/>
  <c r="D54" i="4"/>
  <c r="D60" i="4" s="1"/>
  <c r="F51" i="4"/>
  <c r="F57" i="4" s="1"/>
  <c r="G52" i="3"/>
  <c r="G58" i="3" s="1"/>
  <c r="D99" i="2"/>
  <c r="F54" i="4"/>
  <c r="F60" i="4" s="1"/>
  <c r="J58" i="3"/>
  <c r="I99" i="2"/>
  <c r="H54" i="4"/>
  <c r="H60" i="4" s="1"/>
  <c r="E52" i="3"/>
  <c r="E58" i="3" s="1"/>
  <c r="I59" i="2"/>
  <c r="H94" i="4"/>
  <c r="H100" i="4" s="1"/>
  <c r="D87" i="4"/>
  <c r="D75" i="4"/>
  <c r="D81" i="4" s="1"/>
  <c r="D93" i="4" s="1"/>
  <c r="D99" i="4" s="1"/>
  <c r="D64" i="4"/>
  <c r="I65" i="2"/>
  <c r="I88" i="2"/>
  <c r="I76" i="2"/>
  <c r="I82" i="2" s="1"/>
  <c r="I94" i="2" s="1"/>
  <c r="I100" i="2" s="1"/>
  <c r="I61" i="2"/>
  <c r="I55" i="3"/>
  <c r="I61" i="3" s="1"/>
  <c r="C59" i="2"/>
  <c r="D89" i="2"/>
  <c r="D66" i="2"/>
  <c r="D77" i="2"/>
  <c r="D83" i="2" s="1"/>
  <c r="D95" i="2" s="1"/>
  <c r="D101" i="2" s="1"/>
  <c r="F61" i="3"/>
  <c r="D88" i="3" l="1"/>
  <c r="D65" i="3"/>
  <c r="D76" i="3"/>
  <c r="D82" i="3" s="1"/>
  <c r="D94" i="3" s="1"/>
  <c r="D100" i="3" s="1"/>
  <c r="G94" i="2"/>
  <c r="G100" i="2" s="1"/>
  <c r="D93" i="3"/>
  <c r="D99" i="3" s="1"/>
  <c r="E95" i="4"/>
  <c r="E101" i="4" s="1"/>
  <c r="I76" i="3"/>
  <c r="I82" i="3" s="1"/>
  <c r="I88" i="3"/>
  <c r="I65" i="3"/>
  <c r="G95" i="4"/>
  <c r="G101" i="4" s="1"/>
  <c r="F78" i="4"/>
  <c r="F84" i="4" s="1"/>
  <c r="F67" i="4"/>
  <c r="F90" i="4"/>
  <c r="I77" i="2"/>
  <c r="I83" i="2" s="1"/>
  <c r="I89" i="2"/>
  <c r="I66" i="2"/>
  <c r="D76" i="4"/>
  <c r="D82" i="4" s="1"/>
  <c r="D88" i="4"/>
  <c r="D65" i="4"/>
  <c r="J66" i="4"/>
  <c r="J77" i="4"/>
  <c r="J83" i="4" s="1"/>
  <c r="J89" i="4"/>
  <c r="E66" i="2"/>
  <c r="E77" i="2"/>
  <c r="E83" i="2" s="1"/>
  <c r="E89" i="2"/>
  <c r="J88" i="3"/>
  <c r="J76" i="3"/>
  <c r="J82" i="3" s="1"/>
  <c r="J94" i="3" s="1"/>
  <c r="J100" i="3" s="1"/>
  <c r="J65" i="3"/>
  <c r="C76" i="2"/>
  <c r="C82" i="2" s="1"/>
  <c r="C88" i="2"/>
  <c r="C65" i="2"/>
  <c r="C93" i="2"/>
  <c r="C99" i="2" s="1"/>
  <c r="H77" i="2"/>
  <c r="H83" i="2" s="1"/>
  <c r="H89" i="2"/>
  <c r="H66" i="2"/>
  <c r="E67" i="4"/>
  <c r="E90" i="4"/>
  <c r="E78" i="4"/>
  <c r="E84" i="4" s="1"/>
  <c r="E96" i="4" s="1"/>
  <c r="E102" i="4" s="1"/>
  <c r="C67" i="4"/>
  <c r="C78" i="4"/>
  <c r="C84" i="4" s="1"/>
  <c r="C90" i="4"/>
  <c r="G66" i="2"/>
  <c r="G77" i="2"/>
  <c r="G83" i="2" s="1"/>
  <c r="G89" i="2"/>
  <c r="G77" i="3"/>
  <c r="G83" i="3" s="1"/>
  <c r="G89" i="3"/>
  <c r="G66" i="3"/>
  <c r="I93" i="3"/>
  <c r="I99" i="3" s="1"/>
  <c r="F95" i="4"/>
  <c r="F101" i="4" s="1"/>
  <c r="G94" i="3"/>
  <c r="G100" i="3" s="1"/>
  <c r="G78" i="4"/>
  <c r="G84" i="4" s="1"/>
  <c r="G67" i="4"/>
  <c r="G90" i="4"/>
  <c r="J94" i="4"/>
  <c r="J100" i="4" s="1"/>
  <c r="C76" i="3"/>
  <c r="C82" i="3" s="1"/>
  <c r="C88" i="3"/>
  <c r="C65" i="3"/>
  <c r="E76" i="3"/>
  <c r="E82" i="3" s="1"/>
  <c r="E88" i="3"/>
  <c r="E65" i="3"/>
  <c r="F66" i="2"/>
  <c r="F77" i="2"/>
  <c r="F83" i="2" s="1"/>
  <c r="F89" i="2"/>
  <c r="H95" i="4"/>
  <c r="H101" i="4" s="1"/>
  <c r="J94" i="2"/>
  <c r="J100" i="2" s="1"/>
  <c r="H90" i="4"/>
  <c r="H67" i="4"/>
  <c r="H78" i="4"/>
  <c r="H84" i="4" s="1"/>
  <c r="H96" i="4" s="1"/>
  <c r="H102" i="4" s="1"/>
  <c r="J89" i="2"/>
  <c r="J77" i="2"/>
  <c r="J83" i="2" s="1"/>
  <c r="J95" i="2" s="1"/>
  <c r="J101" i="2" s="1"/>
  <c r="J66" i="2"/>
  <c r="F76" i="3"/>
  <c r="F82" i="3" s="1"/>
  <c r="F88" i="3"/>
  <c r="F65" i="3"/>
  <c r="H94" i="2"/>
  <c r="H100" i="2" s="1"/>
  <c r="I88" i="4"/>
  <c r="I76" i="4"/>
  <c r="I82" i="4" s="1"/>
  <c r="I94" i="4" s="1"/>
  <c r="I100" i="4" s="1"/>
  <c r="I65" i="4"/>
  <c r="D78" i="2"/>
  <c r="D84" i="2" s="1"/>
  <c r="D90" i="2"/>
  <c r="D67" i="2"/>
  <c r="C95" i="4"/>
  <c r="C101" i="4" s="1"/>
  <c r="H88" i="3"/>
  <c r="H76" i="3"/>
  <c r="H82" i="3" s="1"/>
  <c r="H94" i="3" s="1"/>
  <c r="H100" i="3" s="1"/>
  <c r="H65" i="3"/>
  <c r="I93" i="4"/>
  <c r="I99" i="4" s="1"/>
  <c r="C94" i="3" l="1"/>
  <c r="C100" i="3" s="1"/>
  <c r="F94" i="3"/>
  <c r="F100" i="3" s="1"/>
  <c r="E95" i="2"/>
  <c r="E101" i="2" s="1"/>
  <c r="D77" i="3"/>
  <c r="D83" i="3" s="1"/>
  <c r="D89" i="3"/>
  <c r="D66" i="3"/>
  <c r="D94" i="4"/>
  <c r="D100" i="4" s="1"/>
  <c r="G91" i="4"/>
  <c r="G79" i="4"/>
  <c r="G85" i="4" s="1"/>
  <c r="G97" i="4" s="1"/>
  <c r="G103" i="4" s="1"/>
  <c r="H95" i="2"/>
  <c r="H101" i="2" s="1"/>
  <c r="C94" i="2"/>
  <c r="C100" i="2" s="1"/>
  <c r="J77" i="3"/>
  <c r="J83" i="3" s="1"/>
  <c r="J66" i="3"/>
  <c r="J89" i="3"/>
  <c r="E94" i="3"/>
  <c r="E100" i="3" s="1"/>
  <c r="J78" i="2"/>
  <c r="J84" i="2" s="1"/>
  <c r="J67" i="2"/>
  <c r="J90" i="2"/>
  <c r="E91" i="4"/>
  <c r="E79" i="4"/>
  <c r="E85" i="4" s="1"/>
  <c r="E97" i="4" s="1"/>
  <c r="G95" i="3"/>
  <c r="G101" i="3" s="1"/>
  <c r="E77" i="3"/>
  <c r="E83" i="3" s="1"/>
  <c r="E89" i="3"/>
  <c r="E66" i="3"/>
  <c r="C77" i="3"/>
  <c r="C83" i="3" s="1"/>
  <c r="C89" i="3"/>
  <c r="C66" i="3"/>
  <c r="D89" i="4"/>
  <c r="D77" i="4"/>
  <c r="D83" i="4" s="1"/>
  <c r="D95" i="4" s="1"/>
  <c r="D101" i="4" s="1"/>
  <c r="D66" i="4"/>
  <c r="I78" i="2"/>
  <c r="I84" i="2" s="1"/>
  <c r="I67" i="2"/>
  <c r="I90" i="2"/>
  <c r="G96" i="4"/>
  <c r="G102" i="4" s="1"/>
  <c r="H91" i="4"/>
  <c r="H79" i="4"/>
  <c r="H85" i="4" s="1"/>
  <c r="H97" i="4" s="1"/>
  <c r="H103" i="4" s="1"/>
  <c r="H105" i="4" s="1"/>
  <c r="H109" i="4" s="1"/>
  <c r="H78" i="2"/>
  <c r="H84" i="2" s="1"/>
  <c r="H67" i="2"/>
  <c r="H90" i="2"/>
  <c r="I95" i="2"/>
  <c r="I101" i="2" s="1"/>
  <c r="F91" i="4"/>
  <c r="F79" i="4"/>
  <c r="F85" i="4" s="1"/>
  <c r="F97" i="4" s="1"/>
  <c r="F103" i="4" s="1"/>
  <c r="H77" i="3"/>
  <c r="H83" i="3" s="1"/>
  <c r="H89" i="3"/>
  <c r="H66" i="3"/>
  <c r="F96" i="4"/>
  <c r="F102" i="4" s="1"/>
  <c r="G90" i="3"/>
  <c r="G67" i="3"/>
  <c r="G78" i="3"/>
  <c r="G84" i="3" s="1"/>
  <c r="G96" i="3" s="1"/>
  <c r="G102" i="3" s="1"/>
  <c r="C89" i="2"/>
  <c r="C66" i="2"/>
  <c r="C77" i="2"/>
  <c r="C83" i="2" s="1"/>
  <c r="C95" i="2" s="1"/>
  <c r="C101" i="2" s="1"/>
  <c r="F95" i="2"/>
  <c r="F101" i="2" s="1"/>
  <c r="I89" i="3"/>
  <c r="I66" i="3"/>
  <c r="I77" i="3"/>
  <c r="I83" i="3" s="1"/>
  <c r="I95" i="3" s="1"/>
  <c r="I101" i="3" s="1"/>
  <c r="F78" i="2"/>
  <c r="F84" i="2" s="1"/>
  <c r="F67" i="2"/>
  <c r="F90" i="2"/>
  <c r="D79" i="2"/>
  <c r="D85" i="2" s="1"/>
  <c r="D91" i="2"/>
  <c r="I94" i="3"/>
  <c r="I100" i="3" s="1"/>
  <c r="D96" i="2"/>
  <c r="D102" i="2" s="1"/>
  <c r="G95" i="2"/>
  <c r="G101" i="2" s="1"/>
  <c r="I66" i="4"/>
  <c r="I77" i="4"/>
  <c r="I83" i="4" s="1"/>
  <c r="I89" i="4"/>
  <c r="G67" i="2"/>
  <c r="G78" i="2"/>
  <c r="G84" i="2" s="1"/>
  <c r="G90" i="2"/>
  <c r="C96" i="4"/>
  <c r="C102" i="4" s="1"/>
  <c r="E90" i="2"/>
  <c r="E78" i="2"/>
  <c r="E84" i="2" s="1"/>
  <c r="E96" i="2" s="1"/>
  <c r="E102" i="2" s="1"/>
  <c r="E67" i="2"/>
  <c r="C91" i="4"/>
  <c r="C79" i="4"/>
  <c r="C85" i="4" s="1"/>
  <c r="C97" i="4" s="1"/>
  <c r="J95" i="4"/>
  <c r="J101" i="4" s="1"/>
  <c r="F77" i="3"/>
  <c r="F83" i="3" s="1"/>
  <c r="F89" i="3"/>
  <c r="F66" i="3"/>
  <c r="J78" i="4"/>
  <c r="J84" i="4" s="1"/>
  <c r="J90" i="4"/>
  <c r="J67" i="4"/>
  <c r="D97" i="2" l="1"/>
  <c r="F95" i="3"/>
  <c r="F101" i="3" s="1"/>
  <c r="F96" i="2"/>
  <c r="F102" i="2" s="1"/>
  <c r="G105" i="4"/>
  <c r="G109" i="4" s="1"/>
  <c r="D90" i="3"/>
  <c r="D67" i="3"/>
  <c r="D78" i="3"/>
  <c r="D84" i="3" s="1"/>
  <c r="D96" i="3" s="1"/>
  <c r="D102" i="3" s="1"/>
  <c r="D95" i="3"/>
  <c r="D101" i="3" s="1"/>
  <c r="F105" i="4"/>
  <c r="F109" i="4" s="1"/>
  <c r="F91" i="2"/>
  <c r="F79" i="2"/>
  <c r="F85" i="2" s="1"/>
  <c r="F97" i="2" s="1"/>
  <c r="F103" i="2" s="1"/>
  <c r="C103" i="4"/>
  <c r="C106" i="4"/>
  <c r="C107" i="4" s="1"/>
  <c r="J95" i="3"/>
  <c r="J101" i="3" s="1"/>
  <c r="I91" i="2"/>
  <c r="I79" i="2"/>
  <c r="I85" i="2" s="1"/>
  <c r="I97" i="2" s="1"/>
  <c r="I103" i="2" s="1"/>
  <c r="F105" i="2"/>
  <c r="F109" i="2" s="1"/>
  <c r="I96" i="2"/>
  <c r="I102" i="2" s="1"/>
  <c r="I105" i="2" s="1"/>
  <c r="I109" i="2" s="1"/>
  <c r="D78" i="4"/>
  <c r="D84" i="4" s="1"/>
  <c r="D67" i="4"/>
  <c r="D90" i="4"/>
  <c r="C105" i="4"/>
  <c r="C109" i="4" s="1"/>
  <c r="C67" i="3"/>
  <c r="C90" i="3"/>
  <c r="C78" i="3"/>
  <c r="C84" i="3" s="1"/>
  <c r="G96" i="2"/>
  <c r="G102" i="2" s="1"/>
  <c r="G91" i="3"/>
  <c r="G79" i="3"/>
  <c r="G85" i="3" s="1"/>
  <c r="G97" i="3" s="1"/>
  <c r="G103" i="3" s="1"/>
  <c r="G105" i="3" s="1"/>
  <c r="G109" i="3" s="1"/>
  <c r="H90" i="3"/>
  <c r="H67" i="3"/>
  <c r="H78" i="3"/>
  <c r="H84" i="3" s="1"/>
  <c r="H96" i="3" s="1"/>
  <c r="H102" i="3" s="1"/>
  <c r="I90" i="4"/>
  <c r="I67" i="4"/>
  <c r="I78" i="4"/>
  <c r="I84" i="4" s="1"/>
  <c r="I96" i="4" s="1"/>
  <c r="I102" i="4" s="1"/>
  <c r="E95" i="3"/>
  <c r="E101" i="3" s="1"/>
  <c r="D105" i="2"/>
  <c r="J96" i="4"/>
  <c r="J102" i="4" s="1"/>
  <c r="J67" i="3"/>
  <c r="J78" i="3"/>
  <c r="J84" i="3" s="1"/>
  <c r="J90" i="3"/>
  <c r="C90" i="2"/>
  <c r="C78" i="2"/>
  <c r="C84" i="2" s="1"/>
  <c r="C96" i="2" s="1"/>
  <c r="C102" i="2" s="1"/>
  <c r="C67" i="2"/>
  <c r="I95" i="4"/>
  <c r="I101" i="4" s="1"/>
  <c r="H95" i="3"/>
  <c r="H101" i="3" s="1"/>
  <c r="J91" i="4"/>
  <c r="J79" i="4"/>
  <c r="J85" i="4" s="1"/>
  <c r="J97" i="4" s="1"/>
  <c r="J103" i="4" s="1"/>
  <c r="F67" i="3"/>
  <c r="F90" i="3"/>
  <c r="F78" i="3"/>
  <c r="F84" i="3" s="1"/>
  <c r="F96" i="3" s="1"/>
  <c r="F102" i="3" s="1"/>
  <c r="J91" i="2"/>
  <c r="J79" i="2"/>
  <c r="J85" i="2" s="1"/>
  <c r="J97" i="2" s="1"/>
  <c r="J103" i="2" s="1"/>
  <c r="I90" i="3"/>
  <c r="I67" i="3"/>
  <c r="I78" i="3"/>
  <c r="I84" i="3" s="1"/>
  <c r="I96" i="3" s="1"/>
  <c r="I102" i="3" s="1"/>
  <c r="E91" i="2"/>
  <c r="E79" i="2"/>
  <c r="E85" i="2" s="1"/>
  <c r="E97" i="2" s="1"/>
  <c r="G91" i="2"/>
  <c r="G79" i="2"/>
  <c r="G85" i="2" s="1"/>
  <c r="G97" i="2" s="1"/>
  <c r="G103" i="2" s="1"/>
  <c r="G105" i="2" s="1"/>
  <c r="G109" i="2" s="1"/>
  <c r="C95" i="3"/>
  <c r="C101" i="3" s="1"/>
  <c r="E90" i="3"/>
  <c r="E67" i="3"/>
  <c r="E78" i="3"/>
  <c r="E84" i="3" s="1"/>
  <c r="E96" i="3" s="1"/>
  <c r="E102" i="3" s="1"/>
  <c r="E103" i="4"/>
  <c r="E105" i="4" s="1"/>
  <c r="E106" i="4"/>
  <c r="E107" i="4" s="1"/>
  <c r="D106" i="2"/>
  <c r="D107" i="2" s="1"/>
  <c r="D103" i="2"/>
  <c r="H91" i="2"/>
  <c r="H79" i="2"/>
  <c r="H85" i="2" s="1"/>
  <c r="H97" i="2" s="1"/>
  <c r="H103" i="2" s="1"/>
  <c r="H96" i="2"/>
  <c r="H102" i="2" s="1"/>
  <c r="H105" i="2" s="1"/>
  <c r="H109" i="2" s="1"/>
  <c r="J96" i="2"/>
  <c r="J102" i="2" s="1"/>
  <c r="J105" i="2" l="1"/>
  <c r="J109" i="2" s="1"/>
  <c r="C96" i="3"/>
  <c r="C102" i="3" s="1"/>
  <c r="J105" i="4"/>
  <c r="J109" i="4" s="1"/>
  <c r="D91" i="3"/>
  <c r="D79" i="3"/>
  <c r="D85" i="3" s="1"/>
  <c r="D97" i="3" s="1"/>
  <c r="E109" i="4"/>
  <c r="E91" i="3"/>
  <c r="E79" i="3"/>
  <c r="E85" i="3" s="1"/>
  <c r="E97" i="3" s="1"/>
  <c r="C91" i="3"/>
  <c r="C79" i="3"/>
  <c r="C85" i="3" s="1"/>
  <c r="C97" i="3" s="1"/>
  <c r="D91" i="4"/>
  <c r="D79" i="4"/>
  <c r="D85" i="4" s="1"/>
  <c r="D97" i="4" s="1"/>
  <c r="J96" i="3"/>
  <c r="J102" i="3" s="1"/>
  <c r="J91" i="3"/>
  <c r="J79" i="3"/>
  <c r="J85" i="3" s="1"/>
  <c r="J97" i="3" s="1"/>
  <c r="J103" i="3" s="1"/>
  <c r="J105" i="3" s="1"/>
  <c r="J109" i="3" s="1"/>
  <c r="D109" i="2"/>
  <c r="I91" i="4"/>
  <c r="I79" i="4"/>
  <c r="I85" i="4" s="1"/>
  <c r="I97" i="4" s="1"/>
  <c r="I103" i="4" s="1"/>
  <c r="I105" i="4" s="1"/>
  <c r="I109" i="4" s="1"/>
  <c r="C79" i="2"/>
  <c r="C85" i="2" s="1"/>
  <c r="C91" i="2"/>
  <c r="D96" i="4"/>
  <c r="D102" i="4" s="1"/>
  <c r="E106" i="2"/>
  <c r="E107" i="2" s="1"/>
  <c r="E103" i="2"/>
  <c r="E105" i="2" s="1"/>
  <c r="I91" i="3"/>
  <c r="I79" i="3"/>
  <c r="I85" i="3" s="1"/>
  <c r="I97" i="3" s="1"/>
  <c r="I103" i="3" s="1"/>
  <c r="I105" i="3" s="1"/>
  <c r="I109" i="3" s="1"/>
  <c r="H91" i="3"/>
  <c r="H79" i="3"/>
  <c r="H85" i="3" s="1"/>
  <c r="H97" i="3" s="1"/>
  <c r="H103" i="3" s="1"/>
  <c r="H105" i="3" s="1"/>
  <c r="H109" i="3" s="1"/>
  <c r="F91" i="3"/>
  <c r="F79" i="3"/>
  <c r="F85" i="3" s="1"/>
  <c r="F97" i="3" s="1"/>
  <c r="F103" i="3" s="1"/>
  <c r="F105" i="3" s="1"/>
  <c r="F109" i="3" s="1"/>
  <c r="D103" i="3" l="1"/>
  <c r="D105" i="3" s="1"/>
  <c r="D106" i="3"/>
  <c r="D107" i="3" s="1"/>
  <c r="E109" i="2"/>
  <c r="C97" i="2"/>
  <c r="D103" i="4"/>
  <c r="D105" i="4" s="1"/>
  <c r="D109" i="4" s="1"/>
  <c r="D106" i="4"/>
  <c r="D107" i="4" s="1"/>
  <c r="C106" i="3"/>
  <c r="C107" i="3" s="1"/>
  <c r="C103" i="3"/>
  <c r="C105" i="3" s="1"/>
  <c r="C109" i="3" s="1"/>
  <c r="E103" i="3"/>
  <c r="E105" i="3" s="1"/>
  <c r="E106" i="3"/>
  <c r="E107" i="3" s="1"/>
  <c r="D109" i="3" l="1"/>
  <c r="E109" i="3"/>
  <c r="K110" i="3"/>
  <c r="K109" i="3"/>
  <c r="K119" i="3" s="1"/>
  <c r="K122" i="3" s="1"/>
  <c r="B17" i="6" s="1"/>
  <c r="E17" i="6" s="1"/>
  <c r="C106" i="2"/>
  <c r="C107" i="2" s="1"/>
  <c r="C103" i="2"/>
  <c r="C105" i="2" s="1"/>
  <c r="C109" i="2" s="1"/>
  <c r="K110" i="4"/>
  <c r="K109" i="4"/>
  <c r="K119" i="4" s="1"/>
  <c r="K122" i="4" s="1"/>
  <c r="B19" i="6" s="1"/>
  <c r="E19" i="6" s="1"/>
  <c r="K110" i="2" l="1"/>
  <c r="K109" i="2"/>
  <c r="K119" i="2" s="1"/>
  <c r="K122" i="2" s="1"/>
  <c r="B18" i="6" s="1"/>
  <c r="E18" i="6" s="1"/>
  <c r="B21" i="6"/>
</calcChain>
</file>

<file path=xl/sharedStrings.xml><?xml version="1.0" encoding="utf-8"?>
<sst xmlns="http://schemas.openxmlformats.org/spreadsheetml/2006/main" count="497" uniqueCount="239">
  <si>
    <t>FinSurf — SOTP-DCF Inputs</t>
  </si>
  <si>
    <t>Phase 2 v3 — per-Segment WACC (Damodaran β), shared D/E + tax. Column C = Reasoning.</t>
  </si>
  <si>
    <t>── Company ──</t>
  </si>
  <si>
    <t>Company</t>
  </si>
  <si>
    <t>Bayer AG</t>
  </si>
  <si>
    <t>Ticker</t>
  </si>
  <si>
    <t>BAYN</t>
  </si>
  <si>
    <t>Currency</t>
  </si>
  <si>
    <t>EUR</t>
  </si>
  <si>
    <t>Report Date (ISO)</t>
  </si>
  <si>
    <t>2025-12-31</t>
  </si>
  <si>
    <t>── Group Bilanz (Y0) ──</t>
  </si>
  <si>
    <t>Shares Outstanding (Mio.)</t>
  </si>
  <si>
    <t>Cash (Mio.)</t>
  </si>
  <si>
    <t>Total Debt ex-Leases (Mio.)</t>
  </si>
  <si>
    <t>Net Debt (Mio.) [calc]</t>
  </si>
  <si>
    <t>Minority Interest (Mio.)</t>
  </si>
  <si>
    <t>── WACC Build-Up (Group-Defaults; Segmente überschreiben β) ──</t>
  </si>
  <si>
    <t>← Reasoning (Writer befüllt)</t>
  </si>
  <si>
    <t>Risk-Free Rate (Rf)</t>
  </si>
  <si>
    <t>Bund 10y 31.12.2025 ~2,5%</t>
  </si>
  <si>
    <t>Equity Risk Premium (ERP)</t>
  </si>
  <si>
    <t>Damodaran Europe (deterministisch)</t>
  </si>
  <si>
    <t>Unlevered Beta (Group, Fallback)</t>
  </si>
  <si>
    <t>Damodaran Sektor-Beta, aus data/industry_betas.json</t>
  </si>
  <si>
    <t>Target D/E</t>
  </si>
  <si>
    <t>(Kapitalstruktur-Annahme: Writer)</t>
  </si>
  <si>
    <t>Tax Rate</t>
  </si>
  <si>
    <t>(Effektiver Steuersatz: Writer)</t>
  </si>
  <si>
    <t>Levered Beta Group [calc]</t>
  </si>
  <si>
    <t>Country Risk Premium</t>
  </si>
  <si>
    <t>Umsatzmix: Nordamerika ~37% (0bp), Deutschland/Westeuropa ~30% (0bp), LatAm ~17% (~150bp × 17% = 25bp), APAC ~16% (China/JP 0-50bp × 16% = 8bp) → gewichteter CRP ~33bp ≈ 0,003</t>
  </si>
  <si>
    <t>Specific Risk Premium</t>
  </si>
  <si>
    <t>Erhöhtes Bilanzrisiko durch €10,8 Mrd. Litigations-Rückstellungen mit Unsicherheit über endgültigen Ausgang; Bonität auf BBB-Niveau mit Downgrade-Risiko; 50bp spezifischer Aufschlag</t>
  </si>
  <si>
    <t>Cost of Equity Group [calc]</t>
  </si>
  <si>
    <t>Cost of Debt pre-tax (Kd)</t>
  </si>
  <si>
    <t>Investment-Grade BBB/Baa2; Anleihe-Spreads ~280-300bp über Bund; Coupon-Durchschnitt bestehender Anleihen ~5,3% (impliziert aus Zinsaufwand €1.929 Mrd. / Bruttoverschuldung ~€36 Mrd.)</t>
  </si>
  <si>
    <t>Cost of Debt after-tax [calc]</t>
  </si>
  <si>
    <t>Equity Weight E/(D+E) [calc]</t>
  </si>
  <si>
    <t>Debt Weight D/(D+E) [calc]</t>
  </si>
  <si>
    <t>WACC Group [calc, display only]</t>
  </si>
  <si>
    <t>── Sensitivity-Shocks (Phase 2.5) ──</t>
  </si>
  <si>
    <t>Margin Shock (pp)</t>
  </si>
  <si>
    <t>Growth Shock (pp)</t>
  </si>
  <si>
    <t>SOTP DCF [Base] — Segment-Level Forecast + Group-Aggregation</t>
  </si>
  <si>
    <t>Yellow = Inputs. Orange = Reasoning (Writer befüllt nach Review-Call). Blue = computed. Green = output.</t>
  </si>
  <si>
    <t>Crop Science</t>
  </si>
  <si>
    <t>Pharmaceuticals</t>
  </si>
  <si>
    <t>Consumer Health</t>
  </si>
  <si>
    <t>Segment 4</t>
  </si>
  <si>
    <t>Segment 5</t>
  </si>
  <si>
    <t>Segment 6</t>
  </si>
  <si>
    <t>Segment 7</t>
  </si>
  <si>
    <t>Segment 8</t>
  </si>
  <si>
    <t>GROUP</t>
  </si>
  <si>
    <t>Segment name</t>
  </si>
  <si>
    <t>Y0 Revenue (Mio.)</t>
  </si>
  <si>
    <t>Revenue CAGR (5J)</t>
  </si>
  <si>
    <t>EBIT Margin Y1</t>
  </si>
  <si>
    <t>EBIT Margin Y1 (berichtet, IST)</t>
  </si>
  <si>
    <t>EBIT Margin Y5 (optional)</t>
  </si>
  <si>
    <t>Brutto-Capex / Revenue (Audit)</t>
  </si>
  <si>
    <t>D&amp;A / Revenue (Audit)</t>
  </si>
  <si>
    <t>Net Capex / Revenue (direkt)</t>
  </si>
  <si>
    <t>Terminal Growth</t>
  </si>
  <si>
    <t>Unlevered β (Damodaran, Segment)</t>
  </si>
  <si>
    <t>WACC-Floor (Sektor, Damodaran-Anker)</t>
  </si>
  <si>
    <t>Segment WACC [calc, =MAX(CAPM, Floor)]</t>
  </si>
  <si>
    <t>Segment CRP Override (leer = Group-CRP)</t>
  </si>
  <si>
    <t>Growth-Reasoning (Review-Call-Audit)</t>
  </si>
  <si>
    <t>Fx&amp;p adj. +1.1% in FY2025 als Anker; Five-Year Framework ohne explizite CAGR-Guidance, aber Corn Seed &amp; Traits +13,2% (Fx adj.) als Wachstumstreiber gegenüber strukturellen Rückgängen Insektizide (Movento-Ablauf), Baumwolle, Soja. Dicamba-Vacatur bereinigt, Erholung Herbizide/Corn erwartet. Stufe-1-Guidance nicht konkret, Stufe-3-Markt: globaler Agrarchemie-Markt ~2-3% p.a.; modelliert 1% p.a. wegen anhaltender Portfolio-Streamlining-Effekte (Schließung Frankfurt 2028, Nicht-Kerngeschäft-Deve...</t>
  </si>
  <si>
    <t>Fx&amp;p adj. +1,7% FY2025 als Anker. Xarelto-LOE (€~2,5 Mrd. Umsatz, weiterer struktureller Rückgang ~15-20% p.a. bis ~2028) als Gegenwind; Nubeqa + Kerendia als signifikante Wachstumsträger (jeweils zweistellige Wachstumsraten), dazu Lynkuet (Elinzanetant Menopause), Beyonttra (Acoramidis Herzinsuffizienz) als neue Launches. Nettoeffekt: moderat positives organisches Wachstum. Management-Guidance 2026: 'stabile Umsätze', keine segmentspezifische CAGR-Guidance. Marktanker: globaler Rx-Pharma-Mar...</t>
  </si>
  <si>
    <t>Fx&amp;p adj. -0,1% FY2025 als aktueller Anker; Herausforderungen USA (Directshop Care/of-Auslauf) und China (schwaches Marktumfeld). Globaler Consumer-Health-Markt +3% (Fx adj.) laut Bayer-Schätzung. Division wächst strukturell unter Markt. Keine konkrete CAGR-Guidance; modelliert 2% p.a. (konservativ unter Marktrate) wegen US/China-Schwäche und fehlender Preismacht im fragmentierten OTC-Segment, aber gestützt durch neue Produkte MiraFAST und Markt-EMEA/LatAm-Expansion.</t>
  </si>
  <si>
    <t>Margin-Reasoning (Review-Call-Audit)</t>
  </si>
  <si>
    <t>Y1 13,3% auf EBITA-Basis: reported IFRS EBIT -11,7% ist durch Litigation-Sonderposten (-€3.956 Mrd.) und Impairment-Reversals massiv verzerrt. EBIT vor Sonderposten = €1.424 Mrd./€21.622 Mrd. = 6,6%. Monsanto-Akquisitionsamortisation herausgerechnet: Clean D&amp;A = €2.764 Mrd. = 12,78% des Umsatzes; Gross-Capex (neu kapitalisiert) = €1.310 Mrd. = 6,06%; Delta = 6,72pp = Monsanto-Intangibles-Amortisation (Customer Lists, Technologie, Marken). EBITA-Marge = EBIT vor Sonderposten + 6,72pp = 6,6% +...</t>
  </si>
  <si>
    <t>Y1 19,0% = EBIT vor Sonderposten (€3.391 Mrd./€17.829 Mrd.) als cleaner Forward-Anker; IFRS EBIT 17,5% (reported_ebit_margin) um 1,5pp darunter wegen Restrukturierungskosten €248m und Impairments €41m als Sonderposten. Da_pct = Clean D&amp;A €1.134 Mrd./€17.829 Mrd. = 6,36%; Gross-Capex = €1.120 Mrd./€17.829 Mrd. = 6,28%; Delta nur 0,08pp → keine material Akquisitionsamortisation-Korrektur erforderlich, da Pharma-M&amp;A kleinvolumig und D&amp;A ≈ Capex; EBIT-Basis ausreichend. Y5 18,5%: leichter Margenr...</t>
  </si>
  <si>
    <t>Y1 19,6% auf EBITA-Basis: IFRS EBIT = €912 Mrd./€5.802 Mrd. = 15,7% (reported_ebit_margin). EBIT vor Sonderposten = €961 Mrd. = 16,6%. Da_pct = Clean D&amp;A €380 Mrd./€5.802 Mrd. = 6,55%; Gross-Capex (neu kapitalisiert) = €208 Mrd./€5.802 Mrd. = 3,58%; Delta = 2,97pp = Amortisation akquirierter Marken/Customer-Lists aus früheren Akquisitionen (u.a. Merck Consumer Health 2014, Dr. Scholl's/Coppertone 2019). EBITA-Marge = 16,6% + 3,0% = 19,6%. Net-Capex EBITA-Basis: owned-D&amp;A ≈ Gross-Capex-Niveau...</t>
  </si>
  <si>
    <t>Multiple-Gate (implied vs Sektor-Ceiling)</t>
  </si>
  <si>
    <t>WARN: EV/EBITDA 5.5x &lt; 0.4x Median 14.7x — Distress oder Input pruefen (kein Clamp)</t>
  </si>
  <si>
    <t>ok: EV/EBITDA 9.5x &lt;= 1.1x x Median 14.7x (pharma)</t>
  </si>
  <si>
    <t>ok: EV/EBITDA 8.6x &lt;= 1.1x x Median 14.7x (pharma)</t>
  </si>
  <si>
    <t>Y1 Revenue</t>
  </si>
  <si>
    <t>Y2 Revenue</t>
  </si>
  <si>
    <t>Y3 Revenue</t>
  </si>
  <si>
    <t>Y4 Revenue</t>
  </si>
  <si>
    <t>Y5 Revenue</t>
  </si>
  <si>
    <t>Y1 EBIT Margin</t>
  </si>
  <si>
    <t>Y2 EBIT Margin</t>
  </si>
  <si>
    <t>Y3 EBIT Margin</t>
  </si>
  <si>
    <t>Y4 EBIT Margin</t>
  </si>
  <si>
    <t>Y5 EBIT Margin</t>
  </si>
  <si>
    <t>Y1 EBIT</t>
  </si>
  <si>
    <t>Y2 EBIT</t>
  </si>
  <si>
    <t>Y3 EBIT</t>
  </si>
  <si>
    <t>Y4 EBIT</t>
  </si>
  <si>
    <t>Y5 EBIT</t>
  </si>
  <si>
    <t>Y1 NOPAT (after-tax)</t>
  </si>
  <si>
    <t>Y2 NOPAT</t>
  </si>
  <si>
    <t>Y3 NOPAT</t>
  </si>
  <si>
    <t>Y4 NOPAT</t>
  </si>
  <si>
    <t>Y5 NOPAT</t>
  </si>
  <si>
    <t>Y1 Net Capex</t>
  </si>
  <si>
    <t>Y2 Net Capex</t>
  </si>
  <si>
    <t>Y3 Net Capex</t>
  </si>
  <si>
    <t>Y4 Net Capex</t>
  </si>
  <si>
    <t>Y5 Net Capex</t>
  </si>
  <si>
    <t>Y1 FCF</t>
  </si>
  <si>
    <t>Y2 FCF</t>
  </si>
  <si>
    <t>Y3 FCF</t>
  </si>
  <si>
    <t>Y4 FCF</t>
  </si>
  <si>
    <t>Y5 FCF</t>
  </si>
  <si>
    <t>PV(FCF Y1)</t>
  </si>
  <si>
    <t>PV(FCF Y2)</t>
  </si>
  <si>
    <t>PV(FCF Y3)</t>
  </si>
  <si>
    <t>PV(FCF Y4)</t>
  </si>
  <si>
    <t>PV(FCF Y5)</t>
  </si>
  <si>
    <t>── Stage-2 Fade Period (Year 6-10) ──</t>
  </si>
  <si>
    <t>Y6 Revenue (Fade)</t>
  </si>
  <si>
    <t>Y7 Revenue (Fade)</t>
  </si>
  <si>
    <t>Y8 Revenue (Fade)</t>
  </si>
  <si>
    <t>Y9 Revenue (Fade)</t>
  </si>
  <si>
    <t>Y10 Revenue (Fade)</t>
  </si>
  <si>
    <t>Y6 EBIT Margin (flat Y5)</t>
  </si>
  <si>
    <t>Y7 EBIT Margin (flat Y5)</t>
  </si>
  <si>
    <t>Y8 EBIT Margin (flat Y5)</t>
  </si>
  <si>
    <t>Y9 EBIT Margin (flat Y5)</t>
  </si>
  <si>
    <t>Y10 EBIT Margin (flat Y5)</t>
  </si>
  <si>
    <t>Y6 EBIT</t>
  </si>
  <si>
    <t>Y7 EBIT</t>
  </si>
  <si>
    <t>Y8 EBIT</t>
  </si>
  <si>
    <t>Y9 EBIT</t>
  </si>
  <si>
    <t>Y10 EBIT</t>
  </si>
  <si>
    <t>Y6 NOPAT</t>
  </si>
  <si>
    <t>Y7 NOPAT</t>
  </si>
  <si>
    <t>Y8 NOPAT</t>
  </si>
  <si>
    <t>Y9 NOPAT</t>
  </si>
  <si>
    <t>Y10 NOPAT</t>
  </si>
  <si>
    <t>Y6 Net Capex</t>
  </si>
  <si>
    <t>Y7 Net Capex</t>
  </si>
  <si>
    <t>Y8 Net Capex</t>
  </si>
  <si>
    <t>Y9 Net Capex</t>
  </si>
  <si>
    <t>Y10 Net Capex</t>
  </si>
  <si>
    <t>Y6 FCF</t>
  </si>
  <si>
    <t>Y7 FCF</t>
  </si>
  <si>
    <t>Y8 FCF</t>
  </si>
  <si>
    <t>Y9 FCF</t>
  </si>
  <si>
    <t>Y10 FCF</t>
  </si>
  <si>
    <t>PV(FCF Y6)</t>
  </si>
  <si>
    <t>PV(FCF Y7)</t>
  </si>
  <si>
    <t>PV(FCF Y8)</t>
  </si>
  <si>
    <t>PV(FCF Y9)</t>
  </si>
  <si>
    <t>PV(FCF Y10)</t>
  </si>
  <si>
    <t>Σ PV(FCF Y1-Y10)</t>
  </si>
  <si>
    <t>Terminal Value (Gordon, FCF Y10)</t>
  </si>
  <si>
    <t>PV(Terminal Value)</t>
  </si>
  <si>
    <t>Segment EV</t>
  </si>
  <si>
    <t>EV-weighted WACC (avg)</t>
  </si>
  <si>
    <t>− Net Debt (ex Markt-Töchter, ex CF-Funding)</t>
  </si>
  <si>
    <t>− Minority Interest (adj.)</t>
  </si>
  <si>
    <t>± Corp. Overhead (kap.)</t>
  </si>
  <si>
    <t>± Markt-Tochter (Marktwert − DCF-EV)</t>
  </si>
  <si>
    <t>+ Captive Finance (P/B × Equity-BW)</t>
  </si>
  <si>
    <t>± Binary Adj (Netto)</t>
  </si>
  <si>
    <t>± Multiple-Gate Adj (Sektor-Ceiling)</t>
  </si>
  <si>
    <t>÷ Shares Outstanding</t>
  </si>
  <si>
    <t>Price Target (per Share)</t>
  </si>
  <si>
    <t>SOTP DCF [Bull] — Segment-Level Forecast + Group-Aggregation</t>
  </si>
  <si>
    <t>SOTP DCF [Bear] — Segment-Level Forecast + Group-Aggregation</t>
  </si>
  <si>
    <t>SOTP — Binary Adjustments (Post-DCF)</t>
  </si>
  <si>
    <t>Einmal-Ereignisse: Litigation, M&amp;A, Restrukturierungen. Litigation IMMER negativ (Litigation-Sign-Lock). Netto = EV-Impact × Probability.</t>
  </si>
  <si>
    <t>Writer befüllt aus analysis.binary_adjustments.</t>
  </si>
  <si>
    <t>Name</t>
  </si>
  <si>
    <t>EV-Impact (Mio.)</t>
  </si>
  <si>
    <t>Probability</t>
  </si>
  <si>
    <t>Netto-EV (Mio.)</t>
  </si>
  <si>
    <t>Beschreibung / Evidenz</t>
  </si>
  <si>
    <t>Glyphosat-Klassen-Settlement Residualrisiko</t>
  </si>
  <si>
    <t>Monsanto-Klassen-Settlement Januar 2026 angekündigt. Rückstellungen Litigationen gesamt €10,8 Mrd. (davon Glyphosat Hauptteil). Residualrisiko: Settlement könnte Opt-Out-Rate &gt;10% aufweisen → Nicht-Klassen-Klagen weiter laufend; Zusatzexposure €2-4 Mrd. über Rückstellungen. Erwartungswert bei 40% Eintrittswahrscheinlichkeit = -€1 Mrd. (Mittelwert €2,5 Mrd. × 40%). Bereits auf Bilanz befindliche Rückstellungen (€10,8 Mrd.) sind im Net Debt enthalten und werden nicht nochmals abgezogen.</t>
  </si>
  <si>
    <t>PCB-Litigation Zusatzexposure</t>
  </si>
  <si>
    <t>PCB-Litigation (Polychlorinated Biphenyls) gegen Monsanto läuft weiter. Im 2025 wurden weitere Fälle gelöst; verbleibende Klagen ungewiss. Provisionen für PCB bereits in den €10,8 Mrd. enthalten. Residualrisiko aus nicht-provoisionierten weiteren Klagen: €1-2 Mrd. Erwartungswert -€525 Mio. bei 35% Eintrittswahrscheinlichkeit; hier -€1,5 Mrd. als worst-case-Exposure abgebildet.</t>
  </si>
  <si>
    <t>Crop Science Five-Year Framework Restructuring Savings</t>
  </si>
  <si>
    <t>Five-Year Framework sieht signifikante Effizienzgewinne in R&amp;D (F&amp;E-Ausgaben bereits von €2,6 Mrd. auf €2,0 Mrd. 2024→2025 reduziert) und Produktionsnetzwerk-Optimierung vor. Bei erfolgreicher Umsetzung: NPV-Vorteil aus Kosteneinsparungen über Rückstellungen hinaus ca. €800 Mio. Wahrscheinlichkeit 55% (Execution-Track-Record erst 1 Jahr beobachtbar).</t>
  </si>
  <si>
    <t>Netto gesamt (Mio.)</t>
  </si>
  <si>
    <t>Netto pro Aktie</t>
  </si>
  <si>
    <t>SOTP — Bull/Base/Bear-Szenarien</t>
  </si>
  <si>
    <t>Pro Case ein eigenständiges DCF-Sheet (DCF Bull/Base/Bear). Die Group-PTs unten referenzieren diese Sheets LIVE — jeder Case ist segment-genau nachrechenbar.</t>
  </si>
  <si>
    <t>── Segment-Annahmen (pro Case) ──</t>
  </si>
  <si>
    <t>Segment</t>
  </si>
  <si>
    <t>CAGR Bull</t>
  </si>
  <si>
    <t>CAGR Base</t>
  </si>
  <si>
    <t>CAGR Bear</t>
  </si>
  <si>
    <t>Marge Y1 Bull</t>
  </si>
  <si>
    <t>Marge Y1 Base</t>
  </si>
  <si>
    <t>Marge Y1 Bear</t>
  </si>
  <si>
    <t>TG Bull</t>
  </si>
  <si>
    <t>TG Base</t>
  </si>
  <si>
    <t>TG Bear</t>
  </si>
  <si>
    <t>β_lev</t>
  </si>
  <si>
    <t>Δ Marge (pp)</t>
  </si>
  <si>
    <t>── Group Kursziele (live aus DCF-Sheets) ──</t>
  </si>
  <si>
    <t>Szenario</t>
  </si>
  <si>
    <t>PT roh (€/Aktie)</t>
  </si>
  <si>
    <t>Wahrscheinlichkeit</t>
  </si>
  <si>
    <t>Quelle</t>
  </si>
  <si>
    <t>PT nach Floor (≥0)</t>
  </si>
  <si>
    <t>Bull</t>
  </si>
  <si>
    <t>'DCF Bull'!K122</t>
  </si>
  <si>
    <t>Base</t>
  </si>
  <si>
    <t>'DCF Base'!K122</t>
  </si>
  <si>
    <t>Bear</t>
  </si>
  <si>
    <t>'DCF Bear'!K122</t>
  </si>
  <si>
    <t>Floor: negative Case-PTs auf 0 (begrenzte Haftung, Aktienwert ≥ 0) → Headline gewichtet die Floor-Spalte E</t>
  </si>
  <si>
    <t>Gewichtetes Kursziel (Headline)</t>
  </si>
  <si>
    <t>Sentiment (Wahrscheinlichkeits-Quelle)</t>
  </si>
  <si>
    <t>neutral</t>
  </si>
  <si>
    <t>Named-Range Targets (für sotp_valuation.py)</t>
  </si>
  <si>
    <t>Diese Sheet ist nur ein Index — die echten Werte stehen in Inputs/DCF.</t>
  </si>
  <si>
    <t>OUT_WACC (EV-weighted avg)</t>
  </si>
  <si>
    <t>'DCF Base'!K110</t>
  </si>
  <si>
    <t>OUT_NET_DEBT</t>
  </si>
  <si>
    <t>Inputs!B14</t>
  </si>
  <si>
    <t>OUT_MINORITY</t>
  </si>
  <si>
    <t>Inputs!B15</t>
  </si>
  <si>
    <t>OUT_SHARES</t>
  </si>
  <si>
    <t>Inputs!B11</t>
  </si>
  <si>
    <t>OUT_GROUP_EV</t>
  </si>
  <si>
    <t>'DCF Base'!K109</t>
  </si>
  <si>
    <t>OUT_EQUITY</t>
  </si>
  <si>
    <t>'DCF Base'!K119</t>
  </si>
  <si>
    <t>OUT_PRICE_TARGET</t>
  </si>
  <si>
    <t>OUT_SEG_EV_i</t>
  </si>
  <si>
    <t>'DCF Base'!C..J109 (i=1..8)</t>
  </si>
  <si>
    <t>OUT_SEG_WACC_i</t>
  </si>
  <si>
    <t>'DCF Base'!C..J16 (i=1..8)</t>
  </si>
  <si>
    <t>— Szenario-PTs —</t>
  </si>
  <si>
    <t>(Szenarien-Sheet, live ref auf je DCF-Sheet)</t>
  </si>
  <si>
    <t>DCF Bull → PT</t>
  </si>
  <si>
    <t>DCF Base → PT</t>
  </si>
  <si>
    <t>DCF Bear →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</si>
</sst>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b/>
      <sz val="14"/>
      <name val="Calibri"/>
    </font>
    <font>
      <i/>
      <sz val="11"/>
      <color rgb="FF666666"/>
      <name val="Calibri"/>
    </font>
    <font>
      <b/>
      <sz val="11"/>
      <name val="Calibri"/>
    </font>
    <font>
      <i/>
      <sz val="11"/>
      <color rgb="FF886600"/>
      <name val="Calibri"/>
    </font>
    <font>
      <i/>
      <sz val="11"/>
      <color rgb="FFCC5500"/>
      <name val="Calibri"/>
    </font>
    <font>
      <i/>
      <sz val="9"/>
      <name val="Calibri"/>
    </font>
    <font>
      <b/>
      <sz val="12"/>
      <color rgb="FF0B5C2E"/>
      <name val="Calibri"/>
    </font>
    <font>
      <b/>
      <sz val="12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2A0"/>
      </patternFill>
    </fill>
    <fill>
      <patternFill patternType="solid">
        <fgColor rgb="FFDCE6F2"/>
      </patternFill>
    </fill>
    <fill>
      <patternFill patternType="solid">
        <fgColor rgb="FFC8E6C9"/>
      </patternFill>
    </fill>
    <fill>
      <patternFill patternType="solid">
        <fgColor rgb="FFFFE0B2"/>
      </patternFill>
    </fill>
    <fill>
      <patternFill patternType="solid">
        <fgColor rgb="FFFFF2A0"/>
      </patternFill>
    </fill>
    <fill>
      <patternFill patternType="solid">
        <fgColor rgb="FFDCE6F2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4" fontId="0" fillId="3" borderId="1" xfId="0" applyNumberFormat="1" applyFill="1" applyBorder="1"/>
    <xf numFmtId="4" fontId="0" fillId="4" borderId="1" xfId="0" applyNumberFormat="1" applyFill="1" applyBorder="1"/>
    <xf numFmtId="10" fontId="0" fillId="3" borderId="1" xfId="0" applyNumberFormat="1" applyFill="1" applyBorder="1"/>
    <xf numFmtId="0" fontId="2" fillId="2" borderId="0" xfId="0" applyFont="1" applyFill="1"/>
    <xf numFmtId="2" fontId="0" fillId="3" borderId="1" xfId="0" applyNumberFormat="1" applyFill="1" applyBorder="1"/>
    <xf numFmtId="2" fontId="0" fillId="4" borderId="1" xfId="0" applyNumberFormat="1" applyFill="1" applyBorder="1"/>
    <xf numFmtId="10" fontId="0" fillId="4" borderId="1" xfId="0" applyNumberFormat="1" applyFill="1" applyBorder="1"/>
    <xf numFmtId="10" fontId="3" fillId="5" borderId="1" xfId="0" applyNumberFormat="1" applyFont="1" applyFill="1" applyBorder="1"/>
    <xf numFmtId="0" fontId="3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10" fontId="0" fillId="2" borderId="1" xfId="0" applyNumberFormat="1" applyFill="1" applyBorder="1"/>
    <xf numFmtId="0" fontId="4" fillId="0" borderId="0" xfId="0" applyFont="1"/>
    <xf numFmtId="0" fontId="5" fillId="0" borderId="0" xfId="0" applyFont="1"/>
    <xf numFmtId="0" fontId="6" fillId="6" borderId="1" xfId="0" applyFont="1" applyFill="1" applyBorder="1" applyAlignment="1">
      <alignment horizontal="left" vertical="top" wrapText="1"/>
    </xf>
    <xf numFmtId="0" fontId="3" fillId="5" borderId="0" xfId="0" applyFont="1" applyFill="1"/>
    <xf numFmtId="4" fontId="3" fillId="5" borderId="1" xfId="0" applyNumberFormat="1" applyFont="1" applyFill="1" applyBorder="1"/>
    <xf numFmtId="4" fontId="7" fillId="5" borderId="1" xfId="0" applyNumberFormat="1" applyFont="1" applyFill="1" applyBorder="1"/>
    <xf numFmtId="0" fontId="3" fillId="2" borderId="1" xfId="0" applyFont="1" applyFill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8" fillId="0" borderId="0" xfId="0" applyFont="1"/>
    <xf numFmtId="0" fontId="0" fillId="4" borderId="0" xfId="0" applyFill="1"/>
    <xf numFmtId="0" fontId="9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0" fontId="0" fillId="8" borderId="2" xfId="0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workbookViewId="0"/>
  </sheetViews>
  <sheetFormatPr baseColWidth="10" defaultColWidth="9.23046875" defaultRowHeight="14.6" x14ac:dyDescent="0.4"/>
  <cols>
    <col min="1" max="1" width="32" customWidth="1"/>
    <col min="2" max="2" width="18" customWidth="1"/>
    <col min="3" max="3" width="60" customWidth="1"/>
  </cols>
  <sheetData>
    <row r="1" spans="1:2" ht="18.45" customHeight="1" x14ac:dyDescent="0.5">
      <c r="A1" s="1" t="s">
        <v>0</v>
      </c>
    </row>
    <row r="2" spans="1:2" x14ac:dyDescent="0.4">
      <c r="A2" s="2" t="s">
        <v>1</v>
      </c>
    </row>
    <row r="4" spans="1:2" x14ac:dyDescent="0.4">
      <c r="A4" s="3" t="s">
        <v>2</v>
      </c>
    </row>
    <row r="5" spans="1:2" x14ac:dyDescent="0.4">
      <c r="A5" s="4" t="s">
        <v>3</v>
      </c>
      <c r="B5" t="s">
        <v>4</v>
      </c>
    </row>
    <row r="6" spans="1:2" x14ac:dyDescent="0.4">
      <c r="A6" s="4" t="s">
        <v>5</v>
      </c>
      <c r="B6" t="s">
        <v>6</v>
      </c>
    </row>
    <row r="7" spans="1:2" x14ac:dyDescent="0.4">
      <c r="A7" s="4" t="s">
        <v>7</v>
      </c>
      <c r="B7" t="s">
        <v>8</v>
      </c>
    </row>
    <row r="8" spans="1:2" x14ac:dyDescent="0.4">
      <c r="A8" s="4" t="s">
        <v>9</v>
      </c>
      <c r="B8" t="s">
        <v>10</v>
      </c>
    </row>
    <row r="10" spans="1:2" x14ac:dyDescent="0.4">
      <c r="A10" s="3" t="s">
        <v>11</v>
      </c>
    </row>
    <row r="11" spans="1:2" x14ac:dyDescent="0.4">
      <c r="A11" s="4" t="s">
        <v>12</v>
      </c>
      <c r="B11" s="5">
        <v>982.42</v>
      </c>
    </row>
    <row r="12" spans="1:2" x14ac:dyDescent="0.4">
      <c r="A12" s="4" t="s">
        <v>13</v>
      </c>
      <c r="B12" s="5">
        <v>6671</v>
      </c>
    </row>
    <row r="13" spans="1:2" x14ac:dyDescent="0.4">
      <c r="A13" s="4" t="s">
        <v>14</v>
      </c>
      <c r="B13" s="5">
        <v>36514</v>
      </c>
    </row>
    <row r="14" spans="1:2" x14ac:dyDescent="0.4">
      <c r="A14" s="4" t="s">
        <v>15</v>
      </c>
      <c r="B14" s="6">
        <f>B13-B12</f>
        <v>29843</v>
      </c>
    </row>
    <row r="15" spans="1:2" x14ac:dyDescent="0.4">
      <c r="A15" s="4" t="s">
        <v>16</v>
      </c>
      <c r="B15" s="5">
        <v>25</v>
      </c>
    </row>
    <row r="17" spans="1:3" x14ac:dyDescent="0.4">
      <c r="A17" s="3" t="s">
        <v>17</v>
      </c>
      <c r="C17" s="2" t="s">
        <v>18</v>
      </c>
    </row>
    <row r="18" spans="1:3" x14ac:dyDescent="0.4">
      <c r="A18" s="4" t="s">
        <v>19</v>
      </c>
      <c r="B18" s="7">
        <v>2.5000000000000001E-2</v>
      </c>
      <c r="C18" s="8" t="s">
        <v>20</v>
      </c>
    </row>
    <row r="19" spans="1:3" x14ac:dyDescent="0.4">
      <c r="A19" s="4" t="s">
        <v>21</v>
      </c>
      <c r="B19" s="7">
        <v>5.5E-2</v>
      </c>
      <c r="C19" s="8" t="s">
        <v>22</v>
      </c>
    </row>
    <row r="20" spans="1:3" x14ac:dyDescent="0.4">
      <c r="A20" s="4" t="s">
        <v>23</v>
      </c>
      <c r="B20" s="9">
        <v>0.85</v>
      </c>
      <c r="C20" s="8" t="s">
        <v>24</v>
      </c>
    </row>
    <row r="21" spans="1:3" x14ac:dyDescent="0.4">
      <c r="A21" s="4" t="s">
        <v>25</v>
      </c>
      <c r="B21" s="9">
        <v>1.1000000000000001</v>
      </c>
      <c r="C21" s="8" t="s">
        <v>26</v>
      </c>
    </row>
    <row r="22" spans="1:3" x14ac:dyDescent="0.4">
      <c r="A22" s="4" t="s">
        <v>27</v>
      </c>
      <c r="B22" s="7">
        <v>0.24</v>
      </c>
      <c r="C22" s="8" t="s">
        <v>28</v>
      </c>
    </row>
    <row r="23" spans="1:3" x14ac:dyDescent="0.4">
      <c r="A23" s="4" t="s">
        <v>29</v>
      </c>
      <c r="B23" s="10">
        <f>B20*(1+(1-B22)*B21)</f>
        <v>1.5606</v>
      </c>
    </row>
    <row r="24" spans="1:3" x14ac:dyDescent="0.4">
      <c r="A24" s="4" t="s">
        <v>30</v>
      </c>
      <c r="B24" s="7">
        <v>3.0000000000000001E-3</v>
      </c>
      <c r="C24" s="8" t="s">
        <v>31</v>
      </c>
    </row>
    <row r="25" spans="1:3" x14ac:dyDescent="0.4">
      <c r="A25" s="4" t="s">
        <v>32</v>
      </c>
      <c r="B25" s="7">
        <v>5.0000000000000001E-3</v>
      </c>
      <c r="C25" s="8" t="s">
        <v>33</v>
      </c>
    </row>
    <row r="26" spans="1:3" x14ac:dyDescent="0.4">
      <c r="A26" s="4" t="s">
        <v>34</v>
      </c>
      <c r="B26" s="11">
        <f>B18+B23*B19+B24+B25</f>
        <v>0.11883300000000002</v>
      </c>
    </row>
    <row r="27" spans="1:3" x14ac:dyDescent="0.4">
      <c r="A27" s="4" t="s">
        <v>35</v>
      </c>
      <c r="B27" s="7">
        <v>5.2999999999999999E-2</v>
      </c>
      <c r="C27" s="8" t="s">
        <v>36</v>
      </c>
    </row>
    <row r="28" spans="1:3" x14ac:dyDescent="0.4">
      <c r="A28" s="4" t="s">
        <v>37</v>
      </c>
      <c r="B28" s="11">
        <f>B27*(1-B22)</f>
        <v>4.0279999999999996E-2</v>
      </c>
    </row>
    <row r="29" spans="1:3" x14ac:dyDescent="0.4">
      <c r="A29" s="4" t="s">
        <v>38</v>
      </c>
      <c r="B29" s="11">
        <f>1/(1+B21)</f>
        <v>0.47619047619047616</v>
      </c>
    </row>
    <row r="30" spans="1:3" x14ac:dyDescent="0.4">
      <c r="A30" s="4" t="s">
        <v>39</v>
      </c>
      <c r="B30" s="11">
        <f>B21/(1+B21)</f>
        <v>0.52380952380952384</v>
      </c>
    </row>
    <row r="31" spans="1:3" x14ac:dyDescent="0.4">
      <c r="A31" s="4" t="s">
        <v>40</v>
      </c>
      <c r="B31" s="12">
        <f>B26*B29+B28*B30</f>
        <v>7.7686190476190478E-2</v>
      </c>
    </row>
    <row r="32" spans="1:3" x14ac:dyDescent="0.4">
      <c r="A32" s="3" t="s">
        <v>41</v>
      </c>
    </row>
    <row r="33" spans="1:2" x14ac:dyDescent="0.4">
      <c r="A33" s="4" t="s">
        <v>42</v>
      </c>
      <c r="B33" s="7">
        <v>2.5000000000000001E-2</v>
      </c>
    </row>
    <row r="34" spans="1:2" x14ac:dyDescent="0.4">
      <c r="A34" s="4" t="s">
        <v>43</v>
      </c>
      <c r="B34" s="7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44</v>
      </c>
    </row>
    <row r="2" spans="1:11" x14ac:dyDescent="0.4">
      <c r="A2" s="2" t="s">
        <v>45</v>
      </c>
    </row>
    <row r="3" spans="1:11" x14ac:dyDescent="0.4">
      <c r="C3" s="13" t="s">
        <v>46</v>
      </c>
      <c r="D3" s="13" t="s">
        <v>47</v>
      </c>
      <c r="E3" s="13" t="s">
        <v>48</v>
      </c>
      <c r="F3" s="13" t="s">
        <v>49</v>
      </c>
      <c r="G3" s="13" t="s">
        <v>50</v>
      </c>
      <c r="H3" s="13" t="s">
        <v>51</v>
      </c>
      <c r="I3" s="13" t="s">
        <v>52</v>
      </c>
      <c r="J3" s="13" t="s">
        <v>53</v>
      </c>
      <c r="K3" s="13" t="s">
        <v>54</v>
      </c>
    </row>
    <row r="4" spans="1:11" x14ac:dyDescent="0.4">
      <c r="A4" s="4" t="s">
        <v>55</v>
      </c>
      <c r="C4" s="14" t="s">
        <v>46</v>
      </c>
      <c r="D4" s="14" t="s">
        <v>47</v>
      </c>
      <c r="E4" s="14" t="s">
        <v>48</v>
      </c>
      <c r="F4" s="14"/>
      <c r="G4" s="14"/>
      <c r="H4" s="14"/>
      <c r="I4" s="14"/>
      <c r="J4" s="14"/>
    </row>
    <row r="5" spans="1:11" x14ac:dyDescent="0.4">
      <c r="A5" s="4" t="s">
        <v>56</v>
      </c>
      <c r="C5" s="5">
        <v>21622</v>
      </c>
      <c r="D5" s="5">
        <v>17829</v>
      </c>
      <c r="E5" s="5">
        <v>5802</v>
      </c>
      <c r="F5" s="5"/>
      <c r="G5" s="5"/>
      <c r="H5" s="5"/>
      <c r="I5" s="5"/>
      <c r="J5" s="5"/>
    </row>
    <row r="6" spans="1:11" x14ac:dyDescent="0.4">
      <c r="A6" s="4" t="s">
        <v>57</v>
      </c>
      <c r="C6" s="7">
        <v>0.01</v>
      </c>
      <c r="D6" s="7">
        <v>0.02</v>
      </c>
      <c r="E6" s="7">
        <v>0.02</v>
      </c>
      <c r="F6" s="7"/>
      <c r="G6" s="7"/>
      <c r="H6" s="7"/>
      <c r="I6" s="7"/>
      <c r="J6" s="7"/>
    </row>
    <row r="7" spans="1:11" x14ac:dyDescent="0.4">
      <c r="A7" s="4" t="s">
        <v>58</v>
      </c>
      <c r="C7" s="7">
        <v>0.13300000000000001</v>
      </c>
      <c r="D7" s="7">
        <v>0.19</v>
      </c>
      <c r="E7" s="7">
        <v>0.19600000000000001</v>
      </c>
      <c r="F7" s="7"/>
      <c r="G7" s="7"/>
      <c r="H7" s="7"/>
      <c r="I7" s="7"/>
      <c r="J7" s="7"/>
    </row>
    <row r="8" spans="1:11" x14ac:dyDescent="0.4">
      <c r="A8" s="4" t="s">
        <v>59</v>
      </c>
      <c r="C8" s="15">
        <v>-0.11700000000000001</v>
      </c>
      <c r="D8" s="15">
        <v>0.17499999999999999</v>
      </c>
      <c r="E8" s="15">
        <v>0.157</v>
      </c>
      <c r="F8" s="15"/>
      <c r="G8" s="15"/>
      <c r="H8" s="15"/>
      <c r="I8" s="15"/>
      <c r="J8" s="15"/>
    </row>
    <row r="9" spans="1:11" x14ac:dyDescent="0.4">
      <c r="A9" s="4" t="s">
        <v>60</v>
      </c>
      <c r="C9" s="7">
        <v>0.16500000000000001</v>
      </c>
      <c r="D9" s="7">
        <v>0.185</v>
      </c>
      <c r="E9" s="7">
        <v>0.19500000000000001</v>
      </c>
      <c r="F9" s="7"/>
      <c r="G9" s="7"/>
      <c r="H9" s="7"/>
      <c r="I9" s="7"/>
      <c r="J9" s="7"/>
    </row>
    <row r="10" spans="1:11" x14ac:dyDescent="0.4">
      <c r="A10" s="4" t="s">
        <v>61</v>
      </c>
      <c r="C10" s="7">
        <v>6.0999999999999999E-2</v>
      </c>
      <c r="D10" s="7">
        <v>6.3E-2</v>
      </c>
      <c r="E10" s="7">
        <v>3.5999999999999997E-2</v>
      </c>
      <c r="F10" s="7"/>
      <c r="G10" s="7"/>
      <c r="H10" s="7"/>
      <c r="I10" s="7"/>
      <c r="J10" s="7"/>
    </row>
    <row r="11" spans="1:11" x14ac:dyDescent="0.4">
      <c r="A11" s="4" t="s">
        <v>62</v>
      </c>
      <c r="C11" s="7">
        <v>0.128</v>
      </c>
      <c r="D11" s="7">
        <v>6.4000000000000001E-2</v>
      </c>
      <c r="E11" s="7">
        <v>6.6000000000000003E-2</v>
      </c>
      <c r="F11" s="7"/>
      <c r="G11" s="7"/>
      <c r="H11" s="7"/>
      <c r="I11" s="7"/>
      <c r="J11" s="7"/>
    </row>
    <row r="12" spans="1:11" x14ac:dyDescent="0.4">
      <c r="A12" s="4" t="s">
        <v>63</v>
      </c>
      <c r="C12" s="7">
        <v>0.02</v>
      </c>
      <c r="D12" s="7">
        <v>5.0000000000000001E-3</v>
      </c>
      <c r="E12" s="7">
        <v>5.0000000000000001E-3</v>
      </c>
      <c r="F12" s="7"/>
      <c r="G12" s="7"/>
      <c r="H12" s="7"/>
      <c r="I12" s="7"/>
      <c r="J12" s="7"/>
    </row>
    <row r="13" spans="1:11" x14ac:dyDescent="0.4">
      <c r="A13" s="4" t="s">
        <v>64</v>
      </c>
      <c r="C13" s="7">
        <v>1.4999999999999999E-2</v>
      </c>
      <c r="D13" s="7">
        <v>0.02</v>
      </c>
      <c r="E13" s="7">
        <v>0.02</v>
      </c>
      <c r="F13" s="7"/>
      <c r="G13" s="7"/>
      <c r="H13" s="7"/>
      <c r="I13" s="7"/>
      <c r="J13" s="7"/>
    </row>
    <row r="14" spans="1:11" x14ac:dyDescent="0.4">
      <c r="A14" s="4" t="s">
        <v>65</v>
      </c>
      <c r="C14" s="9">
        <v>1</v>
      </c>
      <c r="D14" s="9">
        <v>0.85</v>
      </c>
      <c r="E14" s="9">
        <v>1</v>
      </c>
      <c r="F14" s="9"/>
      <c r="G14" s="9"/>
      <c r="H14" s="9"/>
      <c r="I14" s="9"/>
      <c r="J14" s="9"/>
    </row>
    <row r="15" spans="1:11" x14ac:dyDescent="0.4">
      <c r="A15" s="4" t="s">
        <v>66</v>
      </c>
      <c r="C15" s="7">
        <v>6.5000000000000002E-2</v>
      </c>
      <c r="D15" s="7">
        <v>6.5000000000000002E-2</v>
      </c>
      <c r="E15" s="7">
        <v>6.5000000000000002E-2</v>
      </c>
      <c r="F15" s="7"/>
      <c r="G15" s="7"/>
      <c r="H15" s="7"/>
      <c r="I15" s="7"/>
      <c r="J15" s="7"/>
    </row>
    <row r="16" spans="1:11" x14ac:dyDescent="0.4">
      <c r="A16" s="4" t="s">
        <v>67</v>
      </c>
      <c r="C16" s="11">
        <f>MAX((Inputs!B18+C14*(1+(1-Inputs!B22)*Inputs!B21)*Inputs!B19+IF(ISBLANK(C17),Inputs!B24,C17)+Inputs!B25)*Inputs!B29+Inputs!B28*Inputs!B30,C15)</f>
        <v>8.4899047619047624E-2</v>
      </c>
      <c r="D16" s="11">
        <f>MAX((Inputs!B18+D14*(1+(1-Inputs!B22)*Inputs!B21)*Inputs!B19+IF(ISBLANK(D17),Inputs!B24,D17)+Inputs!B25)*Inputs!B29+Inputs!B28*Inputs!B30,D15)</f>
        <v>7.7686190476190478E-2</v>
      </c>
      <c r="E16" s="11">
        <f>MAX((Inputs!B18+E14*(1+(1-Inputs!B22)*Inputs!B21)*Inputs!B19+IF(ISBLANK(E17),Inputs!B24,E17)+Inputs!B25)*Inputs!B29+Inputs!B28*Inputs!B30,E15)</f>
        <v>8.4899047619047624E-2</v>
      </c>
      <c r="F16" s="11">
        <f>MAX((Inputs!B18+F14*(1+(1-Inputs!B22)*Inputs!B21)*Inputs!B19+IF(ISBLANK(F17),Inputs!B24,F17)+Inputs!B25)*Inputs!B29+Inputs!B28*Inputs!B30,F15)</f>
        <v>3.6813333333333337E-2</v>
      </c>
      <c r="G16" s="11">
        <f>MAX((Inputs!B18+G14*(1+(1-Inputs!B22)*Inputs!B21)*Inputs!B19+IF(ISBLANK(G17),Inputs!B24,G17)+Inputs!B25)*Inputs!B29+Inputs!B28*Inputs!B30,G15)</f>
        <v>3.6813333333333337E-2</v>
      </c>
      <c r="H16" s="11">
        <f>MAX((Inputs!B18+H14*(1+(1-Inputs!B22)*Inputs!B21)*Inputs!B19+IF(ISBLANK(H17),Inputs!B24,H17)+Inputs!B25)*Inputs!B29+Inputs!B28*Inputs!B30,H15)</f>
        <v>3.6813333333333337E-2</v>
      </c>
      <c r="I16" s="11">
        <f>MAX((Inputs!B18+I14*(1+(1-Inputs!B22)*Inputs!B21)*Inputs!B19+IF(ISBLANK(I17),Inputs!B24,I17)+Inputs!B25)*Inputs!B29+Inputs!B28*Inputs!B30,I15)</f>
        <v>3.6813333333333337E-2</v>
      </c>
      <c r="J16" s="11">
        <f>MAX((Inputs!B18+J14*(1+(1-Inputs!B22)*Inputs!B21)*Inputs!B19+IF(ISBLANK(J17),Inputs!B24,J17)+Inputs!B25)*Inputs!B29+Inputs!B28*Inputs!B30,J15)</f>
        <v>3.6813333333333337E-2</v>
      </c>
    </row>
    <row r="17" spans="1:10" x14ac:dyDescent="0.4">
      <c r="A17" s="16" t="s">
        <v>68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69</v>
      </c>
      <c r="C18" s="18" t="s">
        <v>70</v>
      </c>
      <c r="D18" s="18" t="s">
        <v>71</v>
      </c>
      <c r="E18" s="18" t="s">
        <v>72</v>
      </c>
      <c r="F18" s="18"/>
      <c r="G18" s="18"/>
      <c r="H18" s="18"/>
      <c r="I18" s="18"/>
      <c r="J18" s="18"/>
    </row>
    <row r="19" spans="1:10" ht="40" customHeight="1" x14ac:dyDescent="0.4">
      <c r="A19" s="17" t="s">
        <v>73</v>
      </c>
      <c r="C19" s="18" t="s">
        <v>74</v>
      </c>
      <c r="D19" s="18" t="s">
        <v>75</v>
      </c>
      <c r="E19" s="18" t="s">
        <v>76</v>
      </c>
      <c r="F19" s="18"/>
      <c r="G19" s="18"/>
      <c r="H19" s="18"/>
      <c r="I19" s="18"/>
      <c r="J19" s="18"/>
    </row>
    <row r="20" spans="1:10" ht="28" customHeight="1" x14ac:dyDescent="0.4">
      <c r="A20" s="17" t="s">
        <v>77</v>
      </c>
      <c r="C20" s="18" t="s">
        <v>78</v>
      </c>
      <c r="D20" s="18" t="s">
        <v>79</v>
      </c>
      <c r="E20" s="18" t="s">
        <v>80</v>
      </c>
      <c r="F20" s="18"/>
      <c r="G20" s="18"/>
      <c r="H20" s="18"/>
      <c r="I20" s="18"/>
      <c r="J20" s="18"/>
    </row>
    <row r="21" spans="1:10" x14ac:dyDescent="0.4">
      <c r="A21" s="4" t="s">
        <v>81</v>
      </c>
      <c r="C21" s="6">
        <f t="shared" ref="C21:J21" si="0">C5*(1+C6)^1</f>
        <v>21838.22</v>
      </c>
      <c r="D21" s="6">
        <f t="shared" si="0"/>
        <v>18185.580000000002</v>
      </c>
      <c r="E21" s="6">
        <f t="shared" si="0"/>
        <v>5918.04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82</v>
      </c>
      <c r="C22" s="6">
        <f t="shared" ref="C22:J22" si="1">C5*(1+C6)^2</f>
        <v>22056.602200000001</v>
      </c>
      <c r="D22" s="6">
        <f t="shared" si="1"/>
        <v>18549.2916</v>
      </c>
      <c r="E22" s="6">
        <f t="shared" si="1"/>
        <v>6036.4008000000003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83</v>
      </c>
      <c r="C23" s="6">
        <f t="shared" ref="C23:J23" si="2">C5*(1+C6)^3</f>
        <v>22277.168221999997</v>
      </c>
      <c r="D23" s="6">
        <f t="shared" si="2"/>
        <v>18920.277431999999</v>
      </c>
      <c r="E23" s="6">
        <f t="shared" si="2"/>
        <v>6157.1288159999995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84</v>
      </c>
      <c r="C24" s="6">
        <f t="shared" ref="C24:J24" si="3">C5*(1+C6)^4</f>
        <v>22499.939904220002</v>
      </c>
      <c r="D24" s="6">
        <f t="shared" si="3"/>
        <v>19298.682980639998</v>
      </c>
      <c r="E24" s="6">
        <f t="shared" si="3"/>
        <v>6280.2713923199999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85</v>
      </c>
      <c r="C25" s="6">
        <f t="shared" ref="C25:J25" si="4">C5*(1+C6)^5</f>
        <v>22724.939303262199</v>
      </c>
      <c r="D25" s="6">
        <f t="shared" si="4"/>
        <v>19684.656640252801</v>
      </c>
      <c r="E25" s="6">
        <f t="shared" si="4"/>
        <v>6405.8768201663997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7" spans="1:10" x14ac:dyDescent="0.4">
      <c r="A27" s="4" t="s">
        <v>86</v>
      </c>
      <c r="C27" s="11">
        <f t="shared" ref="C27:J27" si="5">IF(ISBLANK(C9),C7,C7+(C9-C7)*(0)/4)</f>
        <v>0.13300000000000001</v>
      </c>
      <c r="D27" s="11">
        <f t="shared" si="5"/>
        <v>0.19</v>
      </c>
      <c r="E27" s="11">
        <f t="shared" si="5"/>
        <v>0.19600000000000001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87</v>
      </c>
      <c r="C28" s="11">
        <f t="shared" ref="C28:J28" si="6">IF(ISBLANK(C9),C7,C7+(C9-C7)*(1)/4)</f>
        <v>0.14100000000000001</v>
      </c>
      <c r="D28" s="11">
        <f t="shared" si="6"/>
        <v>0.18875</v>
      </c>
      <c r="E28" s="11">
        <f t="shared" si="6"/>
        <v>0.19575000000000001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88</v>
      </c>
      <c r="C29" s="11">
        <f t="shared" ref="C29:J29" si="7">IF(ISBLANK(C9),C7,C7+(C9-C7)*(2)/4)</f>
        <v>0.14900000000000002</v>
      </c>
      <c r="D29" s="11">
        <f t="shared" si="7"/>
        <v>0.1875</v>
      </c>
      <c r="E29" s="11">
        <f t="shared" si="7"/>
        <v>0.19550000000000001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89</v>
      </c>
      <c r="C30" s="11">
        <f t="shared" ref="C30:J30" si="8">IF(ISBLANK(C9),C7,C7+(C9-C7)*(3)/4)</f>
        <v>0.157</v>
      </c>
      <c r="D30" s="11">
        <f t="shared" si="8"/>
        <v>0.18625</v>
      </c>
      <c r="E30" s="11">
        <f t="shared" si="8"/>
        <v>0.19525000000000001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90</v>
      </c>
      <c r="C31" s="11">
        <f t="shared" ref="C31:J31" si="9">IF(ISBLANK(C9),C7,C7+(C9-C7)*(4)/4)</f>
        <v>0.16500000000000001</v>
      </c>
      <c r="D31" s="11">
        <f t="shared" si="9"/>
        <v>0.185</v>
      </c>
      <c r="E31" s="11">
        <f t="shared" si="9"/>
        <v>0.19500000000000001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91</v>
      </c>
      <c r="C33" s="6">
        <f t="shared" ref="C33:J37" si="10">C21*C27</f>
        <v>2904.4832600000004</v>
      </c>
      <c r="D33" s="6">
        <f t="shared" si="10"/>
        <v>3455.2602000000002</v>
      </c>
      <c r="E33" s="6">
        <f t="shared" si="10"/>
        <v>1159.9358400000001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92</v>
      </c>
      <c r="C34" s="6">
        <f t="shared" si="10"/>
        <v>3109.9809102000004</v>
      </c>
      <c r="D34" s="6">
        <f t="shared" si="10"/>
        <v>3501.1787895000002</v>
      </c>
      <c r="E34" s="6">
        <f t="shared" si="10"/>
        <v>1181.6254566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93</v>
      </c>
      <c r="C35" s="6">
        <f t="shared" si="10"/>
        <v>3319.298065078</v>
      </c>
      <c r="D35" s="6">
        <f t="shared" si="10"/>
        <v>3547.5520184999996</v>
      </c>
      <c r="E35" s="6">
        <f t="shared" si="10"/>
        <v>1203.7186835279999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94</v>
      </c>
      <c r="C36" s="6">
        <f t="shared" si="10"/>
        <v>3532.4905649625402</v>
      </c>
      <c r="D36" s="6">
        <f t="shared" si="10"/>
        <v>3594.3797051441998</v>
      </c>
      <c r="E36" s="6">
        <f t="shared" si="10"/>
        <v>1226.22298935048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95</v>
      </c>
      <c r="C37" s="6">
        <f t="shared" si="10"/>
        <v>3749.6149850382631</v>
      </c>
      <c r="D37" s="6">
        <f t="shared" si="10"/>
        <v>3641.6614784467679</v>
      </c>
      <c r="E37" s="6">
        <f t="shared" si="10"/>
        <v>1249.145979932448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96</v>
      </c>
      <c r="C39" s="6">
        <f>C33*(1-Inputs!B22)</f>
        <v>2207.4072776000003</v>
      </c>
      <c r="D39" s="6">
        <f>D33*(1-Inputs!B22)</f>
        <v>2625.9977520000002</v>
      </c>
      <c r="E39" s="6">
        <f>E33*(1-Inputs!B22)</f>
        <v>881.5512384000001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97</v>
      </c>
      <c r="C40" s="6">
        <f>C34*(1-Inputs!B22)</f>
        <v>2363.5854917520005</v>
      </c>
      <c r="D40" s="6">
        <f>D34*(1-Inputs!B22)</f>
        <v>2660.8958800200003</v>
      </c>
      <c r="E40" s="6">
        <f>E34*(1-Inputs!B22)</f>
        <v>898.03534701600006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98</v>
      </c>
      <c r="C41" s="6">
        <f>C35*(1-Inputs!B22)</f>
        <v>2522.6665294592799</v>
      </c>
      <c r="D41" s="6">
        <f>D35*(1-Inputs!B22)</f>
        <v>2696.1395340599997</v>
      </c>
      <c r="E41" s="6">
        <f>E35*(1-Inputs!B22)</f>
        <v>914.8261994812799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99</v>
      </c>
      <c r="C42" s="6">
        <f>C36*(1-Inputs!B22)</f>
        <v>2684.6928293715305</v>
      </c>
      <c r="D42" s="6">
        <f>D36*(1-Inputs!B22)</f>
        <v>2731.7285759095917</v>
      </c>
      <c r="E42" s="6">
        <f>E36*(1-Inputs!B22)</f>
        <v>931.92947190636482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100</v>
      </c>
      <c r="C43" s="6">
        <f>C37*(1-Inputs!B22)</f>
        <v>2849.70738862908</v>
      </c>
      <c r="D43" s="6">
        <f>D37*(1-Inputs!B22)</f>
        <v>2767.6627236195436</v>
      </c>
      <c r="E43" s="6">
        <f>E37*(1-Inputs!B22)</f>
        <v>949.35094474866048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101</v>
      </c>
      <c r="C45" s="6">
        <f t="shared" ref="C45:J45" si="11">C21*C12</f>
        <v>436.76440000000002</v>
      </c>
      <c r="D45" s="6">
        <f t="shared" si="11"/>
        <v>90.927900000000008</v>
      </c>
      <c r="E45" s="6">
        <f t="shared" si="11"/>
        <v>29.590199999999999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102</v>
      </c>
      <c r="C46" s="6">
        <f t="shared" ref="C46:J46" si="12">C22*C12</f>
        <v>441.13204400000001</v>
      </c>
      <c r="D46" s="6">
        <f t="shared" si="12"/>
        <v>92.746458000000004</v>
      </c>
      <c r="E46" s="6">
        <f t="shared" si="12"/>
        <v>30.182004000000003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103</v>
      </c>
      <c r="C47" s="6">
        <f t="shared" ref="C47:J47" si="13">C23*C12</f>
        <v>445.54336443999995</v>
      </c>
      <c r="D47" s="6">
        <f t="shared" si="13"/>
        <v>94.601387160000002</v>
      </c>
      <c r="E47" s="6">
        <f t="shared" si="13"/>
        <v>30.785644079999997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104</v>
      </c>
      <c r="C48" s="6">
        <f t="shared" ref="C48:J48" si="14">C24*C12</f>
        <v>449.99879808440005</v>
      </c>
      <c r="D48" s="6">
        <f t="shared" si="14"/>
        <v>96.493414903199991</v>
      </c>
      <c r="E48" s="6">
        <f t="shared" si="14"/>
        <v>31.401356961600001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105</v>
      </c>
      <c r="C49" s="6">
        <f t="shared" ref="C49:J49" si="15">C25*C12</f>
        <v>454.49878606524402</v>
      </c>
      <c r="D49" s="6">
        <f t="shared" si="15"/>
        <v>98.423283201263999</v>
      </c>
      <c r="E49" s="6">
        <f t="shared" si="15"/>
        <v>32.029384100831997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106</v>
      </c>
      <c r="C51" s="6">
        <f t="shared" ref="C51:J55" si="16">C39-C45</f>
        <v>1770.6428776000002</v>
      </c>
      <c r="D51" s="6">
        <f t="shared" si="16"/>
        <v>2535.0698520000001</v>
      </c>
      <c r="E51" s="6">
        <f t="shared" si="16"/>
        <v>851.96103840000012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107</v>
      </c>
      <c r="C52" s="6">
        <f t="shared" si="16"/>
        <v>1922.4534477520006</v>
      </c>
      <c r="D52" s="6">
        <f t="shared" si="16"/>
        <v>2568.1494220200002</v>
      </c>
      <c r="E52" s="6">
        <f t="shared" si="16"/>
        <v>867.85334301600005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108</v>
      </c>
      <c r="C53" s="6">
        <f t="shared" si="16"/>
        <v>2077.1231650192799</v>
      </c>
      <c r="D53" s="6">
        <f t="shared" si="16"/>
        <v>2601.5381468999999</v>
      </c>
      <c r="E53" s="6">
        <f t="shared" si="16"/>
        <v>884.0405554012799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109</v>
      </c>
      <c r="C54" s="6">
        <f t="shared" si="16"/>
        <v>2234.6940312871302</v>
      </c>
      <c r="D54" s="6">
        <f t="shared" si="16"/>
        <v>2635.2351610063915</v>
      </c>
      <c r="E54" s="6">
        <f t="shared" si="16"/>
        <v>900.52811494476487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110</v>
      </c>
      <c r="C55" s="6">
        <f t="shared" si="16"/>
        <v>2395.2086025638359</v>
      </c>
      <c r="D55" s="6">
        <f t="shared" si="16"/>
        <v>2669.2394404182796</v>
      </c>
      <c r="E55" s="6">
        <f t="shared" si="16"/>
        <v>917.32156064782851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111</v>
      </c>
      <c r="C57" s="6">
        <f t="shared" ref="C57:J57" si="17">C51/(1+C16)^1</f>
        <v>1632.0807742304751</v>
      </c>
      <c r="D57" s="6">
        <f t="shared" si="17"/>
        <v>2352.3265625959671</v>
      </c>
      <c r="E57" s="6">
        <f t="shared" si="17"/>
        <v>785.29061323239216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112</v>
      </c>
      <c r="C58" s="6">
        <f t="shared" ref="C58:J58" si="18">C52/(1+C16)^2</f>
        <v>1633.3421749723134</v>
      </c>
      <c r="D58" s="6">
        <f t="shared" si="18"/>
        <v>2211.2388342787835</v>
      </c>
      <c r="E58" s="6">
        <f t="shared" si="18"/>
        <v>737.33981360967994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113</v>
      </c>
      <c r="C59" s="6">
        <f t="shared" ref="C59:J59" si="19">C53/(1+C16)^3</f>
        <v>1626.6505536941067</v>
      </c>
      <c r="D59" s="6">
        <f t="shared" si="19"/>
        <v>2078.5153921690485</v>
      </c>
      <c r="E59" s="6">
        <f t="shared" si="19"/>
        <v>692.31573897457815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114</v>
      </c>
      <c r="C60" s="6">
        <f t="shared" ref="C60:J60" si="20">C54/(1+C16)^4</f>
        <v>1613.0980166325501</v>
      </c>
      <c r="D60" s="6">
        <f t="shared" si="20"/>
        <v>1953.6650406976664</v>
      </c>
      <c r="E60" s="6">
        <f t="shared" si="20"/>
        <v>650.03982460299653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115</v>
      </c>
      <c r="C61" s="6">
        <f t="shared" ref="C61:J61" si="21">C55/(1+C16)^5</f>
        <v>1593.6637826316344</v>
      </c>
      <c r="D61" s="6">
        <f t="shared" si="21"/>
        <v>1836.2252039684233</v>
      </c>
      <c r="E61" s="6">
        <f t="shared" si="21"/>
        <v>610.34439616939824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116</v>
      </c>
    </row>
    <row r="63" spans="1:10" x14ac:dyDescent="0.4">
      <c r="A63" s="4" t="s">
        <v>117</v>
      </c>
      <c r="C63" s="6">
        <f t="shared" ref="C63:J63" si="22">C25*(1+(C6+(C13-C6)*1/5))</f>
        <v>22974.913635598081</v>
      </c>
      <c r="D63" s="6">
        <f t="shared" si="22"/>
        <v>20078.349773057857</v>
      </c>
      <c r="E63" s="6">
        <f t="shared" si="22"/>
        <v>6533.9943565697276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118</v>
      </c>
      <c r="C64" s="6">
        <f t="shared" ref="C64:J64" si="23">C63*(1+(C6+(C13-C6)*2/5))</f>
        <v>23250.612599225256</v>
      </c>
      <c r="D64" s="6">
        <f t="shared" si="23"/>
        <v>20479.916768519015</v>
      </c>
      <c r="E64" s="6">
        <f t="shared" si="23"/>
        <v>6664.6742437011226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119</v>
      </c>
      <c r="C65" s="6">
        <f t="shared" ref="C65:J65" si="24">C64*(1+(C6+(C13-C6)*3/5))</f>
        <v>23552.870563015182</v>
      </c>
      <c r="D65" s="6">
        <f t="shared" si="24"/>
        <v>20889.515103889396</v>
      </c>
      <c r="E65" s="6">
        <f t="shared" si="24"/>
        <v>6797.967728575145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120</v>
      </c>
      <c r="C66" s="6">
        <f t="shared" ref="C66:J66" si="25">C65*(1+(C6+(C13-C6)*4/5))</f>
        <v>23882.610750897395</v>
      </c>
      <c r="D66" s="6">
        <f t="shared" si="25"/>
        <v>21307.305405967185</v>
      </c>
      <c r="E66" s="6">
        <f t="shared" si="25"/>
        <v>6933.9270831466483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121</v>
      </c>
      <c r="C67" s="6">
        <f t="shared" ref="C67:J67" si="26">C66*(1+(C6+(C13-C6)*5/5))</f>
        <v>24240.849912160855</v>
      </c>
      <c r="D67" s="6">
        <f t="shared" si="26"/>
        <v>21733.45151408653</v>
      </c>
      <c r="E67" s="6">
        <f t="shared" si="26"/>
        <v>7072.6056248095811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122</v>
      </c>
      <c r="C69" s="11">
        <f t="shared" ref="C69:J69" si="27">IF(ISBLANK(C9),C7,C9)</f>
        <v>0.16500000000000001</v>
      </c>
      <c r="D69" s="11">
        <f t="shared" si="27"/>
        <v>0.185</v>
      </c>
      <c r="E69" s="11">
        <f t="shared" si="27"/>
        <v>0.19500000000000001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123</v>
      </c>
      <c r="C70" s="11">
        <f t="shared" ref="C70:J70" si="28">IF(ISBLANK(C9),C7,C9)</f>
        <v>0.16500000000000001</v>
      </c>
      <c r="D70" s="11">
        <f t="shared" si="28"/>
        <v>0.185</v>
      </c>
      <c r="E70" s="11">
        <f t="shared" si="28"/>
        <v>0.19500000000000001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124</v>
      </c>
      <c r="C71" s="11">
        <f t="shared" ref="C71:J71" si="29">IF(ISBLANK(C9),C7,C9)</f>
        <v>0.16500000000000001</v>
      </c>
      <c r="D71" s="11">
        <f t="shared" si="29"/>
        <v>0.185</v>
      </c>
      <c r="E71" s="11">
        <f t="shared" si="29"/>
        <v>0.19500000000000001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125</v>
      </c>
      <c r="C72" s="11">
        <f t="shared" ref="C72:J72" si="30">IF(ISBLANK(C9),C7,C9)</f>
        <v>0.16500000000000001</v>
      </c>
      <c r="D72" s="11">
        <f t="shared" si="30"/>
        <v>0.185</v>
      </c>
      <c r="E72" s="11">
        <f t="shared" si="30"/>
        <v>0.19500000000000001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126</v>
      </c>
      <c r="C73" s="11">
        <f t="shared" ref="C73:J73" si="31">IF(ISBLANK(C9),C7,C9)</f>
        <v>0.16500000000000001</v>
      </c>
      <c r="D73" s="11">
        <f t="shared" si="31"/>
        <v>0.185</v>
      </c>
      <c r="E73" s="11">
        <f t="shared" si="31"/>
        <v>0.19500000000000001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127</v>
      </c>
      <c r="C75" s="6">
        <f t="shared" ref="C75:J79" si="32">C63*C69</f>
        <v>3790.8607498736837</v>
      </c>
      <c r="D75" s="6">
        <f t="shared" si="32"/>
        <v>3714.4947080157035</v>
      </c>
      <c r="E75" s="6">
        <f t="shared" si="32"/>
        <v>1274.128899531097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128</v>
      </c>
      <c r="C76" s="6">
        <f t="shared" si="32"/>
        <v>3836.3510788721674</v>
      </c>
      <c r="D76" s="6">
        <f t="shared" si="32"/>
        <v>3788.7846021760179</v>
      </c>
      <c r="E76" s="6">
        <f t="shared" si="32"/>
        <v>1299.6114775217191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129</v>
      </c>
      <c r="C77" s="6">
        <f t="shared" si="32"/>
        <v>3886.2236428975052</v>
      </c>
      <c r="D77" s="6">
        <f t="shared" si="32"/>
        <v>3864.5602942195383</v>
      </c>
      <c r="E77" s="6">
        <f t="shared" si="32"/>
        <v>1325.6037070721534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130</v>
      </c>
      <c r="C78" s="6">
        <f t="shared" si="32"/>
        <v>3940.6307738980704</v>
      </c>
      <c r="D78" s="6">
        <f t="shared" si="32"/>
        <v>3941.8515001039291</v>
      </c>
      <c r="E78" s="6">
        <f t="shared" si="32"/>
        <v>1352.1157812135964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131</v>
      </c>
      <c r="C79" s="6">
        <f t="shared" si="32"/>
        <v>3999.740235506541</v>
      </c>
      <c r="D79" s="6">
        <f t="shared" si="32"/>
        <v>4020.6885301060079</v>
      </c>
      <c r="E79" s="6">
        <f t="shared" si="32"/>
        <v>1379.1580968378682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132</v>
      </c>
      <c r="C81" s="6">
        <f>C75*(1-Inputs!B22)</f>
        <v>2881.0541699039995</v>
      </c>
      <c r="D81" s="6">
        <f>D75*(1-Inputs!B22)</f>
        <v>2823.0159780919348</v>
      </c>
      <c r="E81" s="6">
        <f>E75*(1-Inputs!B22)</f>
        <v>968.33796364363366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133</v>
      </c>
      <c r="C82" s="6">
        <f>C76*(1-Inputs!B22)</f>
        <v>2915.6268199428473</v>
      </c>
      <c r="D82" s="6">
        <f>D76*(1-Inputs!B22)</f>
        <v>2879.4762976537736</v>
      </c>
      <c r="E82" s="6">
        <f>E76*(1-Inputs!B22)</f>
        <v>987.70472291650651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134</v>
      </c>
      <c r="C83" s="6">
        <f>C77*(1-Inputs!B22)</f>
        <v>2953.529968602104</v>
      </c>
      <c r="D83" s="6">
        <f>D77*(1-Inputs!B22)</f>
        <v>2937.0658236068493</v>
      </c>
      <c r="E83" s="6">
        <f>E77*(1-Inputs!B22)</f>
        <v>1007.4588173748366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135</v>
      </c>
      <c r="C84" s="6">
        <f>C78*(1-Inputs!B22)</f>
        <v>2994.8793881625334</v>
      </c>
      <c r="D84" s="6">
        <f>D78*(1-Inputs!B22)</f>
        <v>2995.8071400789863</v>
      </c>
      <c r="E84" s="6">
        <f>E78*(1-Inputs!B22)</f>
        <v>1027.6079937223333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136</v>
      </c>
      <c r="C85" s="6">
        <f>C79*(1-Inputs!B22)</f>
        <v>3039.8025789849712</v>
      </c>
      <c r="D85" s="6">
        <f>D79*(1-Inputs!B22)</f>
        <v>3055.7232828805659</v>
      </c>
      <c r="E85" s="6">
        <f>E79*(1-Inputs!B22)</f>
        <v>1048.1601535967798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137</v>
      </c>
      <c r="C87" s="6">
        <f t="shared" ref="C87:J87" si="33">C63*MAX(C12,0)</f>
        <v>459.49827271196165</v>
      </c>
      <c r="D87" s="6">
        <f t="shared" si="33"/>
        <v>100.39174886528929</v>
      </c>
      <c r="E87" s="6">
        <f t="shared" si="33"/>
        <v>32.669971782848641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138</v>
      </c>
      <c r="C88" s="6">
        <f t="shared" ref="C88:J88" si="34">C64*MAX(C12,0)</f>
        <v>465.01225198450516</v>
      </c>
      <c r="D88" s="6">
        <f t="shared" si="34"/>
        <v>102.39958384259508</v>
      </c>
      <c r="E88" s="6">
        <f t="shared" si="34"/>
        <v>33.323371218505613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139</v>
      </c>
      <c r="C89" s="6">
        <f t="shared" ref="C89:J89" si="35">C65*MAX(C12,0)</f>
        <v>471.05741126030364</v>
      </c>
      <c r="D89" s="6">
        <f t="shared" si="35"/>
        <v>104.44757551944699</v>
      </c>
      <c r="E89" s="6">
        <f t="shared" si="35"/>
        <v>33.989838642875725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140</v>
      </c>
      <c r="C90" s="6">
        <f t="shared" ref="C90:J90" si="36">C66*MAX(C12,0)</f>
        <v>477.65221501794792</v>
      </c>
      <c r="D90" s="6">
        <f t="shared" si="36"/>
        <v>106.53652702983592</v>
      </c>
      <c r="E90" s="6">
        <f t="shared" si="36"/>
        <v>34.669635415733239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141</v>
      </c>
      <c r="C91" s="6">
        <f t="shared" ref="C91:J91" si="37">C67*MAX(C12,0)</f>
        <v>484.81699824321709</v>
      </c>
      <c r="D91" s="6">
        <f t="shared" si="37"/>
        <v>108.66725757043265</v>
      </c>
      <c r="E91" s="6">
        <f t="shared" si="37"/>
        <v>35.363028124047908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142</v>
      </c>
      <c r="C93" s="6">
        <f t="shared" ref="C93:J97" si="38">C81-C87</f>
        <v>2421.5558971920377</v>
      </c>
      <c r="D93" s="6">
        <f t="shared" si="38"/>
        <v>2722.6242292266456</v>
      </c>
      <c r="E93" s="6">
        <f t="shared" si="38"/>
        <v>935.66799186078504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143</v>
      </c>
      <c r="C94" s="6">
        <f t="shared" si="38"/>
        <v>2450.6145679583424</v>
      </c>
      <c r="D94" s="6">
        <f t="shared" si="38"/>
        <v>2777.0767138111787</v>
      </c>
      <c r="E94" s="6">
        <f t="shared" si="38"/>
        <v>954.38135169800091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144</v>
      </c>
      <c r="C95" s="6">
        <f t="shared" si="38"/>
        <v>2482.4725573418004</v>
      </c>
      <c r="D95" s="6">
        <f t="shared" si="38"/>
        <v>2832.6182480874022</v>
      </c>
      <c r="E95" s="6">
        <f t="shared" si="38"/>
        <v>973.46897873196087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145</v>
      </c>
      <c r="C96" s="6">
        <f t="shared" si="38"/>
        <v>2517.2271731445853</v>
      </c>
      <c r="D96" s="6">
        <f t="shared" si="38"/>
        <v>2889.2706130491506</v>
      </c>
      <c r="E96" s="6">
        <f t="shared" si="38"/>
        <v>992.93835830660009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146</v>
      </c>
      <c r="C97" s="6">
        <f t="shared" si="38"/>
        <v>2554.9855807417543</v>
      </c>
      <c r="D97" s="6">
        <f t="shared" si="38"/>
        <v>2947.056025310133</v>
      </c>
      <c r="E97" s="6">
        <f t="shared" si="38"/>
        <v>1012.7971254727319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147</v>
      </c>
      <c r="C99" s="6">
        <f t="shared" ref="C99:J99" si="39">C93/(1+C16)^6</f>
        <v>1485.109686266715</v>
      </c>
      <c r="D99" s="6">
        <f t="shared" si="39"/>
        <v>1737.9360750834187</v>
      </c>
      <c r="E99" s="6">
        <f t="shared" si="39"/>
        <v>573.8333769018011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148</v>
      </c>
      <c r="C100" s="6">
        <f t="shared" ref="C100:J100" si="40">C94/(1+C16)^7</f>
        <v>1385.3187591972669</v>
      </c>
      <c r="D100" s="6">
        <f t="shared" si="40"/>
        <v>1644.9081488200172</v>
      </c>
      <c r="E100" s="6">
        <f t="shared" si="40"/>
        <v>539.50645981704611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149</v>
      </c>
      <c r="C101" s="6">
        <f t="shared" ref="C101:J101" si="41">C95/(1+C16)^8</f>
        <v>1293.5101253398805</v>
      </c>
      <c r="D101" s="6">
        <f t="shared" si="41"/>
        <v>1556.8598044807979</v>
      </c>
      <c r="E101" s="6">
        <f t="shared" si="41"/>
        <v>507.23299114427698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150</v>
      </c>
      <c r="C102" s="6">
        <f t="shared" ref="C102:J102" si="42">C96/(1+C16)^9</f>
        <v>1208.9781717231276</v>
      </c>
      <c r="D102" s="6">
        <f t="shared" si="42"/>
        <v>1473.5244959098304</v>
      </c>
      <c r="E102" s="6">
        <f t="shared" si="42"/>
        <v>476.89013286776799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151</v>
      </c>
      <c r="C103" s="6">
        <f t="shared" ref="C103:J103" si="43">C97/(1+C16)^10</f>
        <v>1131.0848202807751</v>
      </c>
      <c r="D103" s="6">
        <f t="shared" si="43"/>
        <v>1394.6499445853597</v>
      </c>
      <c r="E103" s="6">
        <f t="shared" si="43"/>
        <v>448.36239518566515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5" spans="1:11" x14ac:dyDescent="0.4">
      <c r="A105" s="4" t="s">
        <v>152</v>
      </c>
      <c r="C105" s="6">
        <f t="shared" ref="C105:J105" si="44">SUM(C57:C61,C99:C103)</f>
        <v>14602.836864968845</v>
      </c>
      <c r="D105" s="6">
        <f t="shared" si="44"/>
        <v>18239.84950258931</v>
      </c>
      <c r="E105" s="6">
        <f t="shared" si="44"/>
        <v>6021.1557425056026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153</v>
      </c>
      <c r="C106" s="6">
        <f t="shared" ref="C106:J106" si="45">IF(C5=0,0,C97*(1+C13)/(C16-C13))</f>
        <v>37100.796831832631</v>
      </c>
      <c r="D106" s="6">
        <f t="shared" si="45"/>
        <v>52109.475786185569</v>
      </c>
      <c r="E106" s="6">
        <f t="shared" si="45"/>
        <v>15917.846345698754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154</v>
      </c>
      <c r="C107" s="6">
        <f t="shared" ref="C107:J107" si="46">C106/(1+C16)^10</f>
        <v>16424.416808107417</v>
      </c>
      <c r="D107" s="6">
        <f t="shared" si="46"/>
        <v>24660.025765858307</v>
      </c>
      <c r="E107" s="6">
        <f t="shared" si="46"/>
        <v>7046.7851203898708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155</v>
      </c>
      <c r="C109" s="20">
        <f t="shared" ref="C109:J109" si="47">C105+C107</f>
        <v>31027.253673076262</v>
      </c>
      <c r="D109" s="20">
        <f t="shared" si="47"/>
        <v>42899.87526844762</v>
      </c>
      <c r="E109" s="20">
        <f t="shared" si="47"/>
        <v>13067.940862895473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86995.069804419356</v>
      </c>
    </row>
    <row r="110" spans="1:11" x14ac:dyDescent="0.4">
      <c r="A110" s="4" t="s">
        <v>156</v>
      </c>
      <c r="K110" s="11">
        <f>IFERROR(SUMPRODUCT(C109:J109,C16:J16)/SUM(C109:J109),0)</f>
        <v>8.1342171666728039E-2</v>
      </c>
    </row>
    <row r="111" spans="1:11" x14ac:dyDescent="0.4">
      <c r="A111" s="4" t="s">
        <v>157</v>
      </c>
      <c r="K111" s="5">
        <v>29843</v>
      </c>
    </row>
    <row r="112" spans="1:11" x14ac:dyDescent="0.4">
      <c r="A112" s="4" t="s">
        <v>158</v>
      </c>
      <c r="K112" s="5">
        <v>25</v>
      </c>
    </row>
    <row r="113" spans="1:11" x14ac:dyDescent="0.4">
      <c r="A113" s="4" t="s">
        <v>159</v>
      </c>
      <c r="K113" s="5">
        <v>-8721.6714407178424</v>
      </c>
    </row>
    <row r="114" spans="1:11" x14ac:dyDescent="0.4">
      <c r="A114" s="4" t="s">
        <v>160</v>
      </c>
      <c r="K114" s="5">
        <v>0</v>
      </c>
    </row>
    <row r="115" spans="1:11" x14ac:dyDescent="0.4">
      <c r="A115" s="4" t="s">
        <v>161</v>
      </c>
      <c r="K115" s="5">
        <v>0</v>
      </c>
    </row>
    <row r="116" spans="1:11" x14ac:dyDescent="0.4">
      <c r="A116" s="4" t="s">
        <v>162</v>
      </c>
      <c r="K116" s="5">
        <v>-1085</v>
      </c>
    </row>
    <row r="117" spans="1:11" x14ac:dyDescent="0.4">
      <c r="A117" s="4" t="s">
        <v>163</v>
      </c>
      <c r="K117" s="5">
        <v>0</v>
      </c>
    </row>
    <row r="119" spans="1:11" x14ac:dyDescent="0.4">
      <c r="A119" s="4" t="e">
        <f>Equity Value</f>
        <v>#NAME?</v>
      </c>
      <c r="K119" s="20">
        <f>K109+K113+K114+K115+K116+K117-K111-K112</f>
        <v>47320.398363701519</v>
      </c>
    </row>
    <row r="120" spans="1:11" x14ac:dyDescent="0.4">
      <c r="A120" s="4" t="s">
        <v>164</v>
      </c>
      <c r="K120" s="6">
        <f>Inputs!B11</f>
        <v>982.42</v>
      </c>
    </row>
    <row r="122" spans="1:11" ht="15.9" customHeight="1" x14ac:dyDescent="0.45">
      <c r="A122" s="4" t="s">
        <v>165</v>
      </c>
      <c r="K122" s="21">
        <f>K119/K120</f>
        <v>48.167177341362674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166</v>
      </c>
    </row>
    <row r="2" spans="1:11" x14ac:dyDescent="0.4">
      <c r="A2" s="2" t="s">
        <v>45</v>
      </c>
    </row>
    <row r="3" spans="1:11" x14ac:dyDescent="0.4">
      <c r="C3" s="13" t="s">
        <v>46</v>
      </c>
      <c r="D3" s="13" t="s">
        <v>47</v>
      </c>
      <c r="E3" s="13" t="s">
        <v>48</v>
      </c>
      <c r="F3" s="13" t="s">
        <v>49</v>
      </c>
      <c r="G3" s="13" t="s">
        <v>50</v>
      </c>
      <c r="H3" s="13" t="s">
        <v>51</v>
      </c>
      <c r="I3" s="13" t="s">
        <v>52</v>
      </c>
      <c r="J3" s="13" t="s">
        <v>53</v>
      </c>
      <c r="K3" s="13" t="s">
        <v>54</v>
      </c>
    </row>
    <row r="4" spans="1:11" x14ac:dyDescent="0.4">
      <c r="A4" s="4" t="s">
        <v>55</v>
      </c>
      <c r="C4" s="14" t="s">
        <v>46</v>
      </c>
      <c r="D4" s="14" t="s">
        <v>47</v>
      </c>
      <c r="E4" s="14" t="s">
        <v>48</v>
      </c>
      <c r="F4" s="14"/>
      <c r="G4" s="14"/>
      <c r="H4" s="14"/>
      <c r="I4" s="14"/>
      <c r="J4" s="14"/>
    </row>
    <row r="5" spans="1:11" x14ac:dyDescent="0.4">
      <c r="A5" s="4" t="s">
        <v>56</v>
      </c>
      <c r="C5" s="5">
        <v>21622</v>
      </c>
      <c r="D5" s="5">
        <v>17829</v>
      </c>
      <c r="E5" s="5">
        <v>5802</v>
      </c>
      <c r="F5" s="5"/>
      <c r="G5" s="5"/>
      <c r="H5" s="5"/>
      <c r="I5" s="5"/>
      <c r="J5" s="5"/>
    </row>
    <row r="6" spans="1:11" x14ac:dyDescent="0.4">
      <c r="A6" s="4" t="s">
        <v>57</v>
      </c>
      <c r="C6" s="7">
        <v>0.03</v>
      </c>
      <c r="D6" s="7">
        <v>0.04</v>
      </c>
      <c r="E6" s="7">
        <v>0.04</v>
      </c>
      <c r="F6" s="7"/>
      <c r="G6" s="7"/>
      <c r="H6" s="7"/>
      <c r="I6" s="7"/>
      <c r="J6" s="7"/>
    </row>
    <row r="7" spans="1:11" x14ac:dyDescent="0.4">
      <c r="A7" s="4" t="s">
        <v>58</v>
      </c>
      <c r="C7" s="7">
        <v>0.17299999999999999</v>
      </c>
      <c r="D7" s="7">
        <v>0.23</v>
      </c>
      <c r="E7" s="7">
        <v>0.23599999999999999</v>
      </c>
      <c r="F7" s="7"/>
      <c r="G7" s="7"/>
      <c r="H7" s="7"/>
      <c r="I7" s="7"/>
      <c r="J7" s="7"/>
    </row>
    <row r="8" spans="1:11" x14ac:dyDescent="0.4">
      <c r="A8" s="4" t="s">
        <v>59</v>
      </c>
      <c r="C8" s="15">
        <v>-0.11700000000000001</v>
      </c>
      <c r="D8" s="15">
        <v>0.17499999999999999</v>
      </c>
      <c r="E8" s="15">
        <v>0.157</v>
      </c>
      <c r="F8" s="15"/>
      <c r="G8" s="15"/>
      <c r="H8" s="15"/>
      <c r="I8" s="15"/>
      <c r="J8" s="15"/>
    </row>
    <row r="9" spans="1:11" x14ac:dyDescent="0.4">
      <c r="A9" s="4" t="s">
        <v>60</v>
      </c>
      <c r="C9" s="7">
        <v>0.20499999999999999</v>
      </c>
      <c r="D9" s="7">
        <v>0.22500000000000001</v>
      </c>
      <c r="E9" s="7">
        <v>0.23499999999999999</v>
      </c>
      <c r="F9" s="7"/>
      <c r="G9" s="7"/>
      <c r="H9" s="7"/>
      <c r="I9" s="7"/>
      <c r="J9" s="7"/>
    </row>
    <row r="10" spans="1:11" x14ac:dyDescent="0.4">
      <c r="A10" s="4" t="s">
        <v>61</v>
      </c>
      <c r="C10" s="7">
        <v>6.0999999999999999E-2</v>
      </c>
      <c r="D10" s="7">
        <v>6.3E-2</v>
      </c>
      <c r="E10" s="7">
        <v>3.5999999999999997E-2</v>
      </c>
      <c r="F10" s="7"/>
      <c r="G10" s="7"/>
      <c r="H10" s="7"/>
      <c r="I10" s="7"/>
      <c r="J10" s="7"/>
    </row>
    <row r="11" spans="1:11" x14ac:dyDescent="0.4">
      <c r="A11" s="4" t="s">
        <v>62</v>
      </c>
      <c r="C11" s="7">
        <v>0.128</v>
      </c>
      <c r="D11" s="7">
        <v>6.4000000000000001E-2</v>
      </c>
      <c r="E11" s="7">
        <v>6.6000000000000003E-2</v>
      </c>
      <c r="F11" s="7"/>
      <c r="G11" s="7"/>
      <c r="H11" s="7"/>
      <c r="I11" s="7"/>
      <c r="J11" s="7"/>
    </row>
    <row r="12" spans="1:11" x14ac:dyDescent="0.4">
      <c r="A12" s="4" t="s">
        <v>63</v>
      </c>
      <c r="C12" s="7">
        <v>0.02</v>
      </c>
      <c r="D12" s="7">
        <v>5.0000000000000001E-3</v>
      </c>
      <c r="E12" s="7">
        <v>5.0000000000000001E-3</v>
      </c>
      <c r="F12" s="7"/>
      <c r="G12" s="7"/>
      <c r="H12" s="7"/>
      <c r="I12" s="7"/>
      <c r="J12" s="7"/>
    </row>
    <row r="13" spans="1:11" x14ac:dyDescent="0.4">
      <c r="A13" s="4" t="s">
        <v>64</v>
      </c>
      <c r="C13" s="7">
        <v>0.02</v>
      </c>
      <c r="D13" s="7">
        <v>2.5000000000000001E-2</v>
      </c>
      <c r="E13" s="7">
        <v>2.5000000000000001E-2</v>
      </c>
      <c r="F13" s="7"/>
      <c r="G13" s="7"/>
      <c r="H13" s="7"/>
      <c r="I13" s="7"/>
      <c r="J13" s="7"/>
    </row>
    <row r="14" spans="1:11" x14ac:dyDescent="0.4">
      <c r="A14" s="4" t="s">
        <v>65</v>
      </c>
      <c r="C14" s="9">
        <v>1</v>
      </c>
      <c r="D14" s="9">
        <v>0.85</v>
      </c>
      <c r="E14" s="9">
        <v>1</v>
      </c>
      <c r="F14" s="9"/>
      <c r="G14" s="9"/>
      <c r="H14" s="9"/>
      <c r="I14" s="9"/>
      <c r="J14" s="9"/>
    </row>
    <row r="15" spans="1:11" x14ac:dyDescent="0.4">
      <c r="A15" s="4" t="s">
        <v>66</v>
      </c>
      <c r="C15" s="7">
        <v>6.5000000000000002E-2</v>
      </c>
      <c r="D15" s="7">
        <v>6.5000000000000002E-2</v>
      </c>
      <c r="E15" s="7">
        <v>6.5000000000000002E-2</v>
      </c>
      <c r="F15" s="7"/>
      <c r="G15" s="7"/>
      <c r="H15" s="7"/>
      <c r="I15" s="7"/>
      <c r="J15" s="7"/>
    </row>
    <row r="16" spans="1:11" x14ac:dyDescent="0.4">
      <c r="A16" s="4" t="s">
        <v>67</v>
      </c>
      <c r="C16" s="11">
        <f>MAX((Inputs!B18+C14*(1+(1-Inputs!B22)*Inputs!B21)*Inputs!B19+IF(ISBLANK(C17),Inputs!B24,C17)+Inputs!B25)*Inputs!B29+Inputs!B28*Inputs!B30,C15)</f>
        <v>8.4899047619047624E-2</v>
      </c>
      <c r="D16" s="11">
        <f>MAX((Inputs!B18+D14*(1+(1-Inputs!B22)*Inputs!B21)*Inputs!B19+IF(ISBLANK(D17),Inputs!B24,D17)+Inputs!B25)*Inputs!B29+Inputs!B28*Inputs!B30,D15)</f>
        <v>7.7686190476190478E-2</v>
      </c>
      <c r="E16" s="11">
        <f>MAX((Inputs!B18+E14*(1+(1-Inputs!B22)*Inputs!B21)*Inputs!B19+IF(ISBLANK(E17),Inputs!B24,E17)+Inputs!B25)*Inputs!B29+Inputs!B28*Inputs!B30,E15)</f>
        <v>8.4899047619047624E-2</v>
      </c>
      <c r="F16" s="11">
        <f>MAX((Inputs!B18+F14*(1+(1-Inputs!B22)*Inputs!B21)*Inputs!B19+IF(ISBLANK(F17),Inputs!B24,F17)+Inputs!B25)*Inputs!B29+Inputs!B28*Inputs!B30,F15)</f>
        <v>3.6813333333333337E-2</v>
      </c>
      <c r="G16" s="11">
        <f>MAX((Inputs!B18+G14*(1+(1-Inputs!B22)*Inputs!B21)*Inputs!B19+IF(ISBLANK(G17),Inputs!B24,G17)+Inputs!B25)*Inputs!B29+Inputs!B28*Inputs!B30,G15)</f>
        <v>3.6813333333333337E-2</v>
      </c>
      <c r="H16" s="11">
        <f>MAX((Inputs!B18+H14*(1+(1-Inputs!B22)*Inputs!B21)*Inputs!B19+IF(ISBLANK(H17),Inputs!B24,H17)+Inputs!B25)*Inputs!B29+Inputs!B28*Inputs!B30,H15)</f>
        <v>3.6813333333333337E-2</v>
      </c>
      <c r="I16" s="11">
        <f>MAX((Inputs!B18+I14*(1+(1-Inputs!B22)*Inputs!B21)*Inputs!B19+IF(ISBLANK(I17),Inputs!B24,I17)+Inputs!B25)*Inputs!B29+Inputs!B28*Inputs!B30,I15)</f>
        <v>3.6813333333333337E-2</v>
      </c>
      <c r="J16" s="11">
        <f>MAX((Inputs!B18+J14*(1+(1-Inputs!B22)*Inputs!B21)*Inputs!B19+IF(ISBLANK(J17),Inputs!B24,J17)+Inputs!B25)*Inputs!B29+Inputs!B28*Inputs!B30,J15)</f>
        <v>3.6813333333333337E-2</v>
      </c>
    </row>
    <row r="17" spans="1:10" x14ac:dyDescent="0.4">
      <c r="A17" s="16" t="s">
        <v>68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69</v>
      </c>
      <c r="C18" s="18" t="s">
        <v>70</v>
      </c>
      <c r="D18" s="18" t="s">
        <v>71</v>
      </c>
      <c r="E18" s="18" t="s">
        <v>72</v>
      </c>
      <c r="F18" s="18"/>
      <c r="G18" s="18"/>
      <c r="H18" s="18"/>
      <c r="I18" s="18"/>
      <c r="J18" s="18"/>
    </row>
    <row r="19" spans="1:10" ht="40" customHeight="1" x14ac:dyDescent="0.4">
      <c r="A19" s="17" t="s">
        <v>73</v>
      </c>
      <c r="C19" s="18" t="s">
        <v>74</v>
      </c>
      <c r="D19" s="18" t="s">
        <v>75</v>
      </c>
      <c r="E19" s="18" t="s">
        <v>76</v>
      </c>
      <c r="F19" s="18"/>
      <c r="G19" s="18"/>
      <c r="H19" s="18"/>
      <c r="I19" s="18"/>
      <c r="J19" s="18"/>
    </row>
    <row r="20" spans="1:10" ht="28" customHeight="1" x14ac:dyDescent="0.4">
      <c r="A20" s="17" t="s">
        <v>77</v>
      </c>
      <c r="C20" s="18" t="s">
        <v>78</v>
      </c>
      <c r="D20" s="18" t="s">
        <v>79</v>
      </c>
      <c r="E20" s="18" t="s">
        <v>80</v>
      </c>
      <c r="F20" s="18"/>
      <c r="G20" s="18"/>
      <c r="H20" s="18"/>
      <c r="I20" s="18"/>
      <c r="J20" s="18"/>
    </row>
    <row r="21" spans="1:10" x14ac:dyDescent="0.4">
      <c r="A21" s="4" t="s">
        <v>81</v>
      </c>
      <c r="C21" s="6">
        <f t="shared" ref="C21:J21" si="0">C5*(1+C6)^1</f>
        <v>22270.66</v>
      </c>
      <c r="D21" s="6">
        <f t="shared" si="0"/>
        <v>18542.16</v>
      </c>
      <c r="E21" s="6">
        <f t="shared" si="0"/>
        <v>6034.08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82</v>
      </c>
      <c r="C22" s="6">
        <f t="shared" ref="C22:J22" si="1">C5*(1+C6)^2</f>
        <v>22938.7798</v>
      </c>
      <c r="D22" s="6">
        <f t="shared" si="1"/>
        <v>19283.846400000002</v>
      </c>
      <c r="E22" s="6">
        <f t="shared" si="1"/>
        <v>6275.4432000000006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83</v>
      </c>
      <c r="C23" s="6">
        <f t="shared" ref="C23:J23" si="2">C5*(1+C6)^3</f>
        <v>23626.943193999999</v>
      </c>
      <c r="D23" s="6">
        <f t="shared" si="2"/>
        <v>20055.200256</v>
      </c>
      <c r="E23" s="6">
        <f t="shared" si="2"/>
        <v>6526.4609280000004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84</v>
      </c>
      <c r="C24" s="6">
        <f t="shared" ref="C24:J24" si="3">C5*(1+C6)^4</f>
        <v>24335.751489819999</v>
      </c>
      <c r="D24" s="6">
        <f t="shared" si="3"/>
        <v>20857.408266240003</v>
      </c>
      <c r="E24" s="6">
        <f t="shared" si="3"/>
        <v>6787.5193651200016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85</v>
      </c>
      <c r="C25" s="6">
        <f t="shared" ref="C25:J25" si="4">C5*(1+C6)^5</f>
        <v>25065.824034514597</v>
      </c>
      <c r="D25" s="6">
        <f t="shared" si="4"/>
        <v>21691.704596889605</v>
      </c>
      <c r="E25" s="6">
        <f t="shared" si="4"/>
        <v>7059.020139724802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7" spans="1:10" x14ac:dyDescent="0.4">
      <c r="A27" s="4" t="s">
        <v>86</v>
      </c>
      <c r="C27" s="11">
        <f t="shared" ref="C27:J27" si="5">IF(ISBLANK(C9),C7,C7+(C9-C7)*(0)/4)</f>
        <v>0.17299999999999999</v>
      </c>
      <c r="D27" s="11">
        <f t="shared" si="5"/>
        <v>0.23</v>
      </c>
      <c r="E27" s="11">
        <f t="shared" si="5"/>
        <v>0.23599999999999999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87</v>
      </c>
      <c r="C28" s="11">
        <f t="shared" ref="C28:J28" si="6">IF(ISBLANK(C9),C7,C7+(C9-C7)*(1)/4)</f>
        <v>0.18099999999999999</v>
      </c>
      <c r="D28" s="11">
        <f t="shared" si="6"/>
        <v>0.22875000000000001</v>
      </c>
      <c r="E28" s="11">
        <f t="shared" si="6"/>
        <v>0.23574999999999999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88</v>
      </c>
      <c r="C29" s="11">
        <f t="shared" ref="C29:J29" si="7">IF(ISBLANK(C9),C7,C7+(C9-C7)*(2)/4)</f>
        <v>0.189</v>
      </c>
      <c r="D29" s="11">
        <f t="shared" si="7"/>
        <v>0.22750000000000001</v>
      </c>
      <c r="E29" s="11">
        <f t="shared" si="7"/>
        <v>0.23549999999999999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89</v>
      </c>
      <c r="C30" s="11">
        <f t="shared" ref="C30:J30" si="8">IF(ISBLANK(C9),C7,C7+(C9-C7)*(3)/4)</f>
        <v>0.19699999999999998</v>
      </c>
      <c r="D30" s="11">
        <f t="shared" si="8"/>
        <v>0.22625000000000001</v>
      </c>
      <c r="E30" s="11">
        <f t="shared" si="8"/>
        <v>0.23524999999999999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90</v>
      </c>
      <c r="C31" s="11">
        <f t="shared" ref="C31:J31" si="9">IF(ISBLANK(C9),C7,C7+(C9-C7)*(4)/4)</f>
        <v>0.20499999999999999</v>
      </c>
      <c r="D31" s="11">
        <f t="shared" si="9"/>
        <v>0.22500000000000001</v>
      </c>
      <c r="E31" s="11">
        <f t="shared" si="9"/>
        <v>0.23499999999999999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91</v>
      </c>
      <c r="C33" s="6">
        <f t="shared" ref="C33:J37" si="10">C21*C27</f>
        <v>3852.8241799999996</v>
      </c>
      <c r="D33" s="6">
        <f t="shared" si="10"/>
        <v>4264.6967999999997</v>
      </c>
      <c r="E33" s="6">
        <f t="shared" si="10"/>
        <v>1424.04288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92</v>
      </c>
      <c r="C34" s="6">
        <f t="shared" si="10"/>
        <v>4151.9191437999998</v>
      </c>
      <c r="D34" s="6">
        <f t="shared" si="10"/>
        <v>4411.1798640000006</v>
      </c>
      <c r="E34" s="6">
        <f t="shared" si="10"/>
        <v>1479.4357344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93</v>
      </c>
      <c r="C35" s="6">
        <f t="shared" si="10"/>
        <v>4465.4922636660003</v>
      </c>
      <c r="D35" s="6">
        <f t="shared" si="10"/>
        <v>4562.5580582399998</v>
      </c>
      <c r="E35" s="6">
        <f t="shared" si="10"/>
        <v>1536.9815485439999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94</v>
      </c>
      <c r="C36" s="6">
        <f t="shared" si="10"/>
        <v>4794.1430434945396</v>
      </c>
      <c r="D36" s="6">
        <f t="shared" si="10"/>
        <v>4718.9886202368007</v>
      </c>
      <c r="E36" s="6">
        <f t="shared" si="10"/>
        <v>1596.7639306444803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95</v>
      </c>
      <c r="C37" s="6">
        <f t="shared" si="10"/>
        <v>5138.4939270754921</v>
      </c>
      <c r="D37" s="6">
        <f t="shared" si="10"/>
        <v>4880.633534300161</v>
      </c>
      <c r="E37" s="6">
        <f t="shared" si="10"/>
        <v>1658.8697328353285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96</v>
      </c>
      <c r="C39" s="6">
        <f>C33*(1-Inputs!B22)</f>
        <v>2928.1463767999999</v>
      </c>
      <c r="D39" s="6">
        <f>D33*(1-Inputs!B22)</f>
        <v>3241.1695679999998</v>
      </c>
      <c r="E39" s="6">
        <f>E33*(1-Inputs!B22)</f>
        <v>1082.2725888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97</v>
      </c>
      <c r="C40" s="6">
        <f>C34*(1-Inputs!B22)</f>
        <v>3155.4585492880001</v>
      </c>
      <c r="D40" s="6">
        <f>D34*(1-Inputs!B22)</f>
        <v>3352.4966966400007</v>
      </c>
      <c r="E40" s="6">
        <f>E34*(1-Inputs!B22)</f>
        <v>1124.371158144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98</v>
      </c>
      <c r="C41" s="6">
        <f>C35*(1-Inputs!B22)</f>
        <v>3393.7741203861601</v>
      </c>
      <c r="D41" s="6">
        <f>D35*(1-Inputs!B22)</f>
        <v>3467.5441242623997</v>
      </c>
      <c r="E41" s="6">
        <f>E35*(1-Inputs!B22)</f>
        <v>1168.1059768934399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99</v>
      </c>
      <c r="C42" s="6">
        <f>C36*(1-Inputs!B22)</f>
        <v>3643.5487130558499</v>
      </c>
      <c r="D42" s="6">
        <f>D36*(1-Inputs!B22)</f>
        <v>3586.4313513799684</v>
      </c>
      <c r="E42" s="6">
        <f>E36*(1-Inputs!B22)</f>
        <v>1213.540587289805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100</v>
      </c>
      <c r="C43" s="6">
        <f>C37*(1-Inputs!B22)</f>
        <v>3905.2553845773741</v>
      </c>
      <c r="D43" s="6">
        <f>D37*(1-Inputs!B22)</f>
        <v>3709.2814860681224</v>
      </c>
      <c r="E43" s="6">
        <f>E37*(1-Inputs!B22)</f>
        <v>1260.7409969548496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101</v>
      </c>
      <c r="C45" s="6">
        <f t="shared" ref="C45:J45" si="11">C21*C12</f>
        <v>445.41320000000002</v>
      </c>
      <c r="D45" s="6">
        <f t="shared" si="11"/>
        <v>92.710800000000006</v>
      </c>
      <c r="E45" s="6">
        <f t="shared" si="11"/>
        <v>30.170400000000001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102</v>
      </c>
      <c r="C46" s="6">
        <f t="shared" ref="C46:J46" si="12">C22*C12</f>
        <v>458.77559600000001</v>
      </c>
      <c r="D46" s="6">
        <f t="shared" si="12"/>
        <v>96.419232000000008</v>
      </c>
      <c r="E46" s="6">
        <f t="shared" si="12"/>
        <v>31.377216000000004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103</v>
      </c>
      <c r="C47" s="6">
        <f t="shared" ref="C47:J47" si="13">C23*C12</f>
        <v>472.53886388000001</v>
      </c>
      <c r="D47" s="6">
        <f t="shared" si="13"/>
        <v>100.27600128</v>
      </c>
      <c r="E47" s="6">
        <f t="shared" si="13"/>
        <v>32.632304640000001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104</v>
      </c>
      <c r="C48" s="6">
        <f t="shared" ref="C48:J48" si="14">C24*C12</f>
        <v>486.71502979639996</v>
      </c>
      <c r="D48" s="6">
        <f t="shared" si="14"/>
        <v>104.28704133120002</v>
      </c>
      <c r="E48" s="6">
        <f t="shared" si="14"/>
        <v>33.937596825600011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105</v>
      </c>
      <c r="C49" s="6">
        <f t="shared" ref="C49:J49" si="15">C25*C12</f>
        <v>501.31648069029194</v>
      </c>
      <c r="D49" s="6">
        <f t="shared" si="15"/>
        <v>108.45852298444802</v>
      </c>
      <c r="E49" s="6">
        <f t="shared" si="15"/>
        <v>35.295100698624012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106</v>
      </c>
      <c r="C51" s="6">
        <f t="shared" ref="C51:J55" si="16">C39-C45</f>
        <v>2482.7331767999999</v>
      </c>
      <c r="D51" s="6">
        <f t="shared" si="16"/>
        <v>3148.458768</v>
      </c>
      <c r="E51" s="6">
        <f t="shared" si="16"/>
        <v>1052.1021888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107</v>
      </c>
      <c r="C52" s="6">
        <f t="shared" si="16"/>
        <v>2696.6829532880001</v>
      </c>
      <c r="D52" s="6">
        <f t="shared" si="16"/>
        <v>3256.0774646400005</v>
      </c>
      <c r="E52" s="6">
        <f t="shared" si="16"/>
        <v>1092.9939421439999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108</v>
      </c>
      <c r="C53" s="6">
        <f t="shared" si="16"/>
        <v>2921.2352565061601</v>
      </c>
      <c r="D53" s="6">
        <f t="shared" si="16"/>
        <v>3367.2681229823997</v>
      </c>
      <c r="E53" s="6">
        <f t="shared" si="16"/>
        <v>1135.4736722534399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109</v>
      </c>
      <c r="C54" s="6">
        <f t="shared" si="16"/>
        <v>3156.83368325945</v>
      </c>
      <c r="D54" s="6">
        <f t="shared" si="16"/>
        <v>3482.1443100487686</v>
      </c>
      <c r="E54" s="6">
        <f t="shared" si="16"/>
        <v>1179.602990464205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110</v>
      </c>
      <c r="C55" s="6">
        <f t="shared" si="16"/>
        <v>3403.9389038870822</v>
      </c>
      <c r="D55" s="6">
        <f t="shared" si="16"/>
        <v>3600.8229630836745</v>
      </c>
      <c r="E55" s="6">
        <f t="shared" si="16"/>
        <v>1225.4458962562255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111</v>
      </c>
      <c r="C57" s="6">
        <f t="shared" ref="C57:J57" si="17">C51/(1+C16)^1</f>
        <v>2288.4462681100895</v>
      </c>
      <c r="D57" s="6">
        <f t="shared" si="17"/>
        <v>2921.4986661458565</v>
      </c>
      <c r="E57" s="6">
        <f t="shared" si="17"/>
        <v>969.76966761006508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112</v>
      </c>
      <c r="C58" s="6">
        <f t="shared" ref="C58:J58" si="18">C52/(1+C16)^2</f>
        <v>2291.1379234096203</v>
      </c>
      <c r="D58" s="6">
        <f t="shared" si="18"/>
        <v>2803.5615355935083</v>
      </c>
      <c r="E58" s="6">
        <f t="shared" si="18"/>
        <v>928.62227940062007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113</v>
      </c>
      <c r="C59" s="6">
        <f t="shared" ref="C59:J59" si="19">C53/(1+C16)^3</f>
        <v>2287.6972475642215</v>
      </c>
      <c r="D59" s="6">
        <f t="shared" si="19"/>
        <v>2690.3002100964882</v>
      </c>
      <c r="E59" s="6">
        <f t="shared" si="19"/>
        <v>889.21971926445417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114</v>
      </c>
      <c r="C60" s="6">
        <f t="shared" ref="C60:J60" si="20">C54/(1+C16)^4</f>
        <v>2278.7379757628896</v>
      </c>
      <c r="D60" s="6">
        <f t="shared" si="20"/>
        <v>2581.5318897796365</v>
      </c>
      <c r="E60" s="6">
        <f t="shared" si="20"/>
        <v>851.48804162494594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115</v>
      </c>
      <c r="C61" s="6">
        <f t="shared" ref="C61:J61" si="21">C55/(1+C16)^5</f>
        <v>2264.8274324035997</v>
      </c>
      <c r="D61" s="6">
        <f t="shared" si="21"/>
        <v>2477.0808417271064</v>
      </c>
      <c r="E61" s="6">
        <f t="shared" si="21"/>
        <v>815.35643298361128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116</v>
      </c>
    </row>
    <row r="63" spans="1:10" x14ac:dyDescent="0.4">
      <c r="A63" s="4" t="s">
        <v>117</v>
      </c>
      <c r="C63" s="6">
        <f t="shared" ref="C63:J63" si="22">C25*(1+(C6+(C13-C6)*1/5))</f>
        <v>25767.667107481007</v>
      </c>
      <c r="D63" s="6">
        <f t="shared" si="22"/>
        <v>22494.297666974519</v>
      </c>
      <c r="E63" s="6">
        <f t="shared" si="22"/>
        <v>7320.2038848946195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118</v>
      </c>
      <c r="C64" s="6">
        <f t="shared" ref="C64:J64" si="23">C63*(1+(C6+(C13-C6)*2/5))</f>
        <v>26437.626452275515</v>
      </c>
      <c r="D64" s="6">
        <f t="shared" si="23"/>
        <v>23259.103787651653</v>
      </c>
      <c r="E64" s="6">
        <f t="shared" si="23"/>
        <v>7569.0908169810364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119</v>
      </c>
      <c r="C65" s="6">
        <f t="shared" ref="C65:J65" si="24">C64*(1+(C6+(C13-C6)*3/5))</f>
        <v>27072.129487130129</v>
      </c>
      <c r="D65" s="6">
        <f t="shared" si="24"/>
        <v>23980.136005068853</v>
      </c>
      <c r="E65" s="6">
        <f t="shared" si="24"/>
        <v>7803.7326323074476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120</v>
      </c>
      <c r="C66" s="6">
        <f t="shared" ref="C66:J66" si="25">C65*(1+(C6+(C13-C6)*4/5))</f>
        <v>27667.716335846992</v>
      </c>
      <c r="D66" s="6">
        <f t="shared" si="25"/>
        <v>24651.579813210781</v>
      </c>
      <c r="E66" s="6">
        <f t="shared" si="25"/>
        <v>8022.2371460120567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121</v>
      </c>
      <c r="C67" s="6">
        <f t="shared" ref="C67:J67" si="26">C66*(1+(C6+(C13-C6)*5/5))</f>
        <v>28221.070662563932</v>
      </c>
      <c r="D67" s="6">
        <f t="shared" si="26"/>
        <v>25267.869308541049</v>
      </c>
      <c r="E67" s="6">
        <f t="shared" si="26"/>
        <v>8222.793074662357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122</v>
      </c>
      <c r="C69" s="11">
        <f t="shared" ref="C69:J69" si="27">IF(ISBLANK(C9),C7,C9)</f>
        <v>0.20499999999999999</v>
      </c>
      <c r="D69" s="11">
        <f t="shared" si="27"/>
        <v>0.22500000000000001</v>
      </c>
      <c r="E69" s="11">
        <f t="shared" si="27"/>
        <v>0.23499999999999999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123</v>
      </c>
      <c r="C70" s="11">
        <f t="shared" ref="C70:J70" si="28">IF(ISBLANK(C9),C7,C9)</f>
        <v>0.20499999999999999</v>
      </c>
      <c r="D70" s="11">
        <f t="shared" si="28"/>
        <v>0.22500000000000001</v>
      </c>
      <c r="E70" s="11">
        <f t="shared" si="28"/>
        <v>0.23499999999999999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124</v>
      </c>
      <c r="C71" s="11">
        <f t="shared" ref="C71:J71" si="29">IF(ISBLANK(C9),C7,C9)</f>
        <v>0.20499999999999999</v>
      </c>
      <c r="D71" s="11">
        <f t="shared" si="29"/>
        <v>0.22500000000000001</v>
      </c>
      <c r="E71" s="11">
        <f t="shared" si="29"/>
        <v>0.23499999999999999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125</v>
      </c>
      <c r="C72" s="11">
        <f t="shared" ref="C72:J72" si="30">IF(ISBLANK(C9),C7,C9)</f>
        <v>0.20499999999999999</v>
      </c>
      <c r="D72" s="11">
        <f t="shared" si="30"/>
        <v>0.22500000000000001</v>
      </c>
      <c r="E72" s="11">
        <f t="shared" si="30"/>
        <v>0.23499999999999999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126</v>
      </c>
      <c r="C73" s="11">
        <f t="shared" ref="C73:J73" si="31">IF(ISBLANK(C9),C7,C9)</f>
        <v>0.20499999999999999</v>
      </c>
      <c r="D73" s="11">
        <f t="shared" si="31"/>
        <v>0.22500000000000001</v>
      </c>
      <c r="E73" s="11">
        <f t="shared" si="31"/>
        <v>0.23499999999999999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127</v>
      </c>
      <c r="C75" s="6">
        <f t="shared" ref="C75:J79" si="32">C63*C69</f>
        <v>5282.3717570336066</v>
      </c>
      <c r="D75" s="6">
        <f t="shared" si="32"/>
        <v>5061.2169750692665</v>
      </c>
      <c r="E75" s="6">
        <f t="shared" si="32"/>
        <v>1720.2479129502356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128</v>
      </c>
      <c r="C76" s="6">
        <f t="shared" si="32"/>
        <v>5419.7134227164806</v>
      </c>
      <c r="D76" s="6">
        <f t="shared" si="32"/>
        <v>5233.2983522216218</v>
      </c>
      <c r="E76" s="6">
        <f t="shared" si="32"/>
        <v>1778.7363419905435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129</v>
      </c>
      <c r="C77" s="6">
        <f t="shared" si="32"/>
        <v>5549.7865448616758</v>
      </c>
      <c r="D77" s="6">
        <f t="shared" si="32"/>
        <v>5395.5306011404919</v>
      </c>
      <c r="E77" s="6">
        <f t="shared" si="32"/>
        <v>1833.87716859225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130</v>
      </c>
      <c r="C78" s="6">
        <f t="shared" si="32"/>
        <v>5671.8818488486331</v>
      </c>
      <c r="D78" s="6">
        <f t="shared" si="32"/>
        <v>5546.6054579724259</v>
      </c>
      <c r="E78" s="6">
        <f t="shared" si="32"/>
        <v>1885.2257293128332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131</v>
      </c>
      <c r="C79" s="6">
        <f t="shared" si="32"/>
        <v>5785.3194858256056</v>
      </c>
      <c r="D79" s="6">
        <f t="shared" si="32"/>
        <v>5685.270594421736</v>
      </c>
      <c r="E79" s="6">
        <f t="shared" si="32"/>
        <v>1932.3563725456538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132</v>
      </c>
      <c r="C81" s="6">
        <f>C75*(1-Inputs!B22)</f>
        <v>4014.6025353455411</v>
      </c>
      <c r="D81" s="6">
        <f>D75*(1-Inputs!B22)</f>
        <v>3846.5249010526427</v>
      </c>
      <c r="E81" s="6">
        <f>E75*(1-Inputs!B22)</f>
        <v>1307.388413842179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133</v>
      </c>
      <c r="C82" s="6">
        <f>C76*(1-Inputs!B22)</f>
        <v>4118.9822012645254</v>
      </c>
      <c r="D82" s="6">
        <f>D76*(1-Inputs!B22)</f>
        <v>3977.3067476884326</v>
      </c>
      <c r="E82" s="6">
        <f>E76*(1-Inputs!B22)</f>
        <v>1351.8396199128131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134</v>
      </c>
      <c r="C83" s="6">
        <f>C77*(1-Inputs!B22)</f>
        <v>4217.8377740948736</v>
      </c>
      <c r="D83" s="6">
        <f>D77*(1-Inputs!B22)</f>
        <v>4100.6032568667742</v>
      </c>
      <c r="E83" s="6">
        <f>E77*(1-Inputs!B22)</f>
        <v>1393.7466481301101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135</v>
      </c>
      <c r="C84" s="6">
        <f>C78*(1-Inputs!B22)</f>
        <v>4310.6302051249613</v>
      </c>
      <c r="D84" s="6">
        <f>D78*(1-Inputs!B22)</f>
        <v>4215.4201480590436</v>
      </c>
      <c r="E84" s="6">
        <f>E78*(1-Inputs!B22)</f>
        <v>1432.7715542777532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136</v>
      </c>
      <c r="C85" s="6">
        <f>C79*(1-Inputs!B22)</f>
        <v>4396.8428092274607</v>
      </c>
      <c r="D85" s="6">
        <f>D79*(1-Inputs!B22)</f>
        <v>4320.8056517605191</v>
      </c>
      <c r="E85" s="6">
        <f>E79*(1-Inputs!B22)</f>
        <v>1468.590843134697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137</v>
      </c>
      <c r="C87" s="6">
        <f t="shared" ref="C87:J87" si="33">C63*MAX(C12,0)</f>
        <v>515.35334214962018</v>
      </c>
      <c r="D87" s="6">
        <f t="shared" si="33"/>
        <v>112.47148833487259</v>
      </c>
      <c r="E87" s="6">
        <f t="shared" si="33"/>
        <v>36.601019424473101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138</v>
      </c>
      <c r="C88" s="6">
        <f t="shared" ref="C88:J88" si="34">C64*MAX(C12,0)</f>
        <v>528.7525290455103</v>
      </c>
      <c r="D88" s="6">
        <f t="shared" si="34"/>
        <v>116.29551893825827</v>
      </c>
      <c r="E88" s="6">
        <f t="shared" si="34"/>
        <v>37.845454084905185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139</v>
      </c>
      <c r="C89" s="6">
        <f t="shared" ref="C89:J89" si="35">C65*MAX(C12,0)</f>
        <v>541.44258974260254</v>
      </c>
      <c r="D89" s="6">
        <f t="shared" si="35"/>
        <v>119.90068002534427</v>
      </c>
      <c r="E89" s="6">
        <f t="shared" si="35"/>
        <v>39.018663161537241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140</v>
      </c>
      <c r="C90" s="6">
        <f t="shared" ref="C90:J90" si="36">C66*MAX(C12,0)</f>
        <v>553.3543267169398</v>
      </c>
      <c r="D90" s="6">
        <f t="shared" si="36"/>
        <v>123.25789906605391</v>
      </c>
      <c r="E90" s="6">
        <f t="shared" si="36"/>
        <v>40.111185730060285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141</v>
      </c>
      <c r="C91" s="6">
        <f t="shared" ref="C91:J91" si="37">C67*MAX(C12,0)</f>
        <v>564.42141325127864</v>
      </c>
      <c r="D91" s="6">
        <f t="shared" si="37"/>
        <v>126.33934654270524</v>
      </c>
      <c r="E91" s="6">
        <f t="shared" si="37"/>
        <v>41.113965373311785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142</v>
      </c>
      <c r="C93" s="6">
        <f t="shared" ref="C93:J97" si="38">C81-C87</f>
        <v>3499.2491931959212</v>
      </c>
      <c r="D93" s="6">
        <f t="shared" si="38"/>
        <v>3734.0534127177702</v>
      </c>
      <c r="E93" s="6">
        <f t="shared" si="38"/>
        <v>1270.7873944177059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143</v>
      </c>
      <c r="C94" s="6">
        <f t="shared" si="38"/>
        <v>3590.2296722190149</v>
      </c>
      <c r="D94" s="6">
        <f t="shared" si="38"/>
        <v>3861.0112287501743</v>
      </c>
      <c r="E94" s="6">
        <f t="shared" si="38"/>
        <v>1313.9941658279079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144</v>
      </c>
      <c r="C95" s="6">
        <f t="shared" si="38"/>
        <v>3676.3951843522709</v>
      </c>
      <c r="D95" s="6">
        <f t="shared" si="38"/>
        <v>3980.7025768414301</v>
      </c>
      <c r="E95" s="6">
        <f t="shared" si="38"/>
        <v>1354.7279849685729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145</v>
      </c>
      <c r="C96" s="6">
        <f t="shared" si="38"/>
        <v>3757.2758784080215</v>
      </c>
      <c r="D96" s="6">
        <f t="shared" si="38"/>
        <v>4092.1622489929896</v>
      </c>
      <c r="E96" s="6">
        <f t="shared" si="38"/>
        <v>1392.660368547693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146</v>
      </c>
      <c r="C97" s="6">
        <f t="shared" si="38"/>
        <v>3832.4213959761819</v>
      </c>
      <c r="D97" s="6">
        <f t="shared" si="38"/>
        <v>4194.4663052178139</v>
      </c>
      <c r="E97" s="6">
        <f t="shared" si="38"/>
        <v>1427.4768777613851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147</v>
      </c>
      <c r="C99" s="6">
        <f t="shared" ref="C99:J99" si="39">C93/(1+C16)^6</f>
        <v>2146.0453906937541</v>
      </c>
      <c r="D99" s="6">
        <f t="shared" si="39"/>
        <v>2383.5629105871526</v>
      </c>
      <c r="E99" s="6">
        <f t="shared" si="39"/>
        <v>779.35787929726632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148</v>
      </c>
      <c r="C100" s="6">
        <f t="shared" ref="C100:J100" si="40">C94/(1+C16)^7</f>
        <v>2029.5368271214006</v>
      </c>
      <c r="D100" s="6">
        <f t="shared" si="40"/>
        <v>2286.9403647624881</v>
      </c>
      <c r="E100" s="6">
        <f t="shared" si="40"/>
        <v>742.79357969935495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149</v>
      </c>
      <c r="C101" s="6">
        <f t="shared" ref="C101:J101" si="41">C95/(1+C16)^8</f>
        <v>1915.6120705731055</v>
      </c>
      <c r="D101" s="6">
        <f t="shared" si="41"/>
        <v>2187.8683580683946</v>
      </c>
      <c r="E101" s="6">
        <f t="shared" si="41"/>
        <v>705.89072997227436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150</v>
      </c>
      <c r="C102" s="6">
        <f t="shared" ref="C102:J102" si="42">C96/(1+C16)^9</f>
        <v>1804.5508846396945</v>
      </c>
      <c r="D102" s="6">
        <f t="shared" si="42"/>
        <v>2086.9977661126945</v>
      </c>
      <c r="E102" s="6">
        <f t="shared" si="42"/>
        <v>668.86930355782329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151</v>
      </c>
      <c r="C103" s="6">
        <f t="shared" ref="C103:J103" si="43">C97/(1+C16)^10</f>
        <v>1696.6020076909613</v>
      </c>
      <c r="D103" s="6">
        <f t="shared" si="43"/>
        <v>1984.9681003338167</v>
      </c>
      <c r="E103" s="6">
        <f t="shared" si="43"/>
        <v>631.939937316184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5" spans="1:11" x14ac:dyDescent="0.4">
      <c r="A105" s="4" t="s">
        <v>152</v>
      </c>
      <c r="C105" s="6">
        <f t="shared" ref="C105:J105" si="44">SUM(C57:C61,C99:C103)</f>
        <v>21003.194027969341</v>
      </c>
      <c r="D105" s="6">
        <f t="shared" si="44"/>
        <v>24404.31064320714</v>
      </c>
      <c r="E105" s="6">
        <f t="shared" si="44"/>
        <v>7983.3075707265998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153</v>
      </c>
      <c r="C106" s="6">
        <f t="shared" ref="C106:J106" si="45">IF(C5=0,0,C97*(1+C13)/(C16-C13))</f>
        <v>60233.084572236599</v>
      </c>
      <c r="D106" s="6">
        <f t="shared" si="45"/>
        <v>81602.558924642246</v>
      </c>
      <c r="E106" s="6">
        <f t="shared" si="45"/>
        <v>24427.162999502187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154</v>
      </c>
      <c r="C107" s="6">
        <f t="shared" ref="C107:J107" si="46">C106/(1+C16)^10</f>
        <v>26665.014531536446</v>
      </c>
      <c r="D107" s="6">
        <f t="shared" si="46"/>
        <v>38617.183828495217</v>
      </c>
      <c r="E107" s="6">
        <f t="shared" si="46"/>
        <v>10813.835302835612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155</v>
      </c>
      <c r="C109" s="20">
        <f t="shared" ref="C109:J109" si="47">C105+C107</f>
        <v>47668.208559505787</v>
      </c>
      <c r="D109" s="20">
        <f t="shared" si="47"/>
        <v>63021.494471702361</v>
      </c>
      <c r="E109" s="20">
        <f t="shared" si="47"/>
        <v>18797.14287356221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129486.84590477037</v>
      </c>
    </row>
    <row r="110" spans="1:11" x14ac:dyDescent="0.4">
      <c r="A110" s="4" t="s">
        <v>156</v>
      </c>
      <c r="K110" s="11">
        <f>IFERROR(SUMPRODUCT(C109:J109,C16:J16)/SUM(C109:J109),0)</f>
        <v>8.1388536312840848E-2</v>
      </c>
    </row>
    <row r="111" spans="1:11" x14ac:dyDescent="0.4">
      <c r="A111" s="4" t="s">
        <v>157</v>
      </c>
      <c r="K111" s="5">
        <v>29843</v>
      </c>
    </row>
    <row r="112" spans="1:11" x14ac:dyDescent="0.4">
      <c r="A112" s="4" t="s">
        <v>158</v>
      </c>
      <c r="K112" s="5">
        <v>25</v>
      </c>
    </row>
    <row r="113" spans="1:11" x14ac:dyDescent="0.4">
      <c r="A113" s="4" t="s">
        <v>159</v>
      </c>
      <c r="K113" s="5">
        <v>-8721.6714407178424</v>
      </c>
    </row>
    <row r="114" spans="1:11" x14ac:dyDescent="0.4">
      <c r="A114" s="4" t="s">
        <v>160</v>
      </c>
      <c r="K114" s="5">
        <v>0</v>
      </c>
    </row>
    <row r="115" spans="1:11" x14ac:dyDescent="0.4">
      <c r="A115" s="4" t="s">
        <v>161</v>
      </c>
      <c r="K115" s="5">
        <v>0</v>
      </c>
    </row>
    <row r="116" spans="1:11" x14ac:dyDescent="0.4">
      <c r="A116" s="4" t="s">
        <v>162</v>
      </c>
      <c r="K116" s="5">
        <v>-1085</v>
      </c>
    </row>
    <row r="117" spans="1:11" x14ac:dyDescent="0.4">
      <c r="A117" s="4" t="s">
        <v>163</v>
      </c>
      <c r="K117" s="5">
        <v>0</v>
      </c>
    </row>
    <row r="119" spans="1:11" x14ac:dyDescent="0.4">
      <c r="A119" s="4" t="e">
        <f>Equity Value</f>
        <v>#NAME?</v>
      </c>
      <c r="K119" s="20">
        <f>K109+K113+K114+K115+K116+K117-K111-K112</f>
        <v>89812.174464052528</v>
      </c>
    </row>
    <row r="120" spans="1:11" x14ac:dyDescent="0.4">
      <c r="A120" s="4" t="s">
        <v>164</v>
      </c>
      <c r="K120" s="6">
        <f>Inputs!B11</f>
        <v>982.42</v>
      </c>
    </row>
    <row r="122" spans="1:11" ht="15.9" customHeight="1" x14ac:dyDescent="0.45">
      <c r="A122" s="4" t="s">
        <v>165</v>
      </c>
      <c r="K122" s="21">
        <f>K119/K120</f>
        <v>91.419326218982235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167</v>
      </c>
    </row>
    <row r="2" spans="1:11" x14ac:dyDescent="0.4">
      <c r="A2" s="2" t="s">
        <v>45</v>
      </c>
    </row>
    <row r="3" spans="1:11" x14ac:dyDescent="0.4">
      <c r="C3" s="13" t="s">
        <v>46</v>
      </c>
      <c r="D3" s="13" t="s">
        <v>47</v>
      </c>
      <c r="E3" s="13" t="s">
        <v>48</v>
      </c>
      <c r="F3" s="13" t="s">
        <v>49</v>
      </c>
      <c r="G3" s="13" t="s">
        <v>50</v>
      </c>
      <c r="H3" s="13" t="s">
        <v>51</v>
      </c>
      <c r="I3" s="13" t="s">
        <v>52</v>
      </c>
      <c r="J3" s="13" t="s">
        <v>53</v>
      </c>
      <c r="K3" s="13" t="s">
        <v>54</v>
      </c>
    </row>
    <row r="4" spans="1:11" x14ac:dyDescent="0.4">
      <c r="A4" s="4" t="s">
        <v>55</v>
      </c>
      <c r="C4" s="14" t="s">
        <v>46</v>
      </c>
      <c r="D4" s="14" t="s">
        <v>47</v>
      </c>
      <c r="E4" s="14" t="s">
        <v>48</v>
      </c>
      <c r="F4" s="14"/>
      <c r="G4" s="14"/>
      <c r="H4" s="14"/>
      <c r="I4" s="14"/>
      <c r="J4" s="14"/>
    </row>
    <row r="5" spans="1:11" x14ac:dyDescent="0.4">
      <c r="A5" s="4" t="s">
        <v>56</v>
      </c>
      <c r="C5" s="5">
        <v>21622</v>
      </c>
      <c r="D5" s="5">
        <v>17829</v>
      </c>
      <c r="E5" s="5">
        <v>5802</v>
      </c>
      <c r="F5" s="5"/>
      <c r="G5" s="5"/>
      <c r="H5" s="5"/>
      <c r="I5" s="5"/>
      <c r="J5" s="5"/>
    </row>
    <row r="6" spans="1:11" x14ac:dyDescent="0.4">
      <c r="A6" s="4" t="s">
        <v>57</v>
      </c>
      <c r="C6" s="7">
        <v>-0.01</v>
      </c>
      <c r="D6" s="7">
        <v>0</v>
      </c>
      <c r="E6" s="7">
        <v>0</v>
      </c>
      <c r="F6" s="7"/>
      <c r="G6" s="7"/>
      <c r="H6" s="7"/>
      <c r="I6" s="7"/>
      <c r="J6" s="7"/>
    </row>
    <row r="7" spans="1:11" x14ac:dyDescent="0.4">
      <c r="A7" s="4" t="s">
        <v>58</v>
      </c>
      <c r="C7" s="7">
        <v>8.8000000000000009E-2</v>
      </c>
      <c r="D7" s="7">
        <v>0.14499999999999999</v>
      </c>
      <c r="E7" s="7">
        <v>0.151</v>
      </c>
      <c r="F7" s="7"/>
      <c r="G7" s="7"/>
      <c r="H7" s="7"/>
      <c r="I7" s="7"/>
      <c r="J7" s="7"/>
    </row>
    <row r="8" spans="1:11" x14ac:dyDescent="0.4">
      <c r="A8" s="4" t="s">
        <v>59</v>
      </c>
      <c r="C8" s="15">
        <v>-0.11700000000000001</v>
      </c>
      <c r="D8" s="15">
        <v>0.17499999999999999</v>
      </c>
      <c r="E8" s="15">
        <v>0.157</v>
      </c>
      <c r="F8" s="15"/>
      <c r="G8" s="15"/>
      <c r="H8" s="15"/>
      <c r="I8" s="15"/>
      <c r="J8" s="15"/>
    </row>
    <row r="9" spans="1:11" x14ac:dyDescent="0.4">
      <c r="A9" s="4" t="s">
        <v>60</v>
      </c>
      <c r="C9" s="7">
        <v>0.12</v>
      </c>
      <c r="D9" s="7">
        <v>0.14000000000000001</v>
      </c>
      <c r="E9" s="7">
        <v>0.15</v>
      </c>
      <c r="F9" s="7"/>
      <c r="G9" s="7"/>
      <c r="H9" s="7"/>
      <c r="I9" s="7"/>
      <c r="J9" s="7"/>
    </row>
    <row r="10" spans="1:11" x14ac:dyDescent="0.4">
      <c r="A10" s="4" t="s">
        <v>61</v>
      </c>
      <c r="C10" s="7">
        <v>6.0999999999999999E-2</v>
      </c>
      <c r="D10" s="7">
        <v>6.3E-2</v>
      </c>
      <c r="E10" s="7">
        <v>3.5999999999999997E-2</v>
      </c>
      <c r="F10" s="7"/>
      <c r="G10" s="7"/>
      <c r="H10" s="7"/>
      <c r="I10" s="7"/>
      <c r="J10" s="7"/>
    </row>
    <row r="11" spans="1:11" x14ac:dyDescent="0.4">
      <c r="A11" s="4" t="s">
        <v>62</v>
      </c>
      <c r="C11" s="7">
        <v>0.128</v>
      </c>
      <c r="D11" s="7">
        <v>6.4000000000000001E-2</v>
      </c>
      <c r="E11" s="7">
        <v>6.6000000000000003E-2</v>
      </c>
      <c r="F11" s="7"/>
      <c r="G11" s="7"/>
      <c r="H11" s="7"/>
      <c r="I11" s="7"/>
      <c r="J11" s="7"/>
    </row>
    <row r="12" spans="1:11" x14ac:dyDescent="0.4">
      <c r="A12" s="4" t="s">
        <v>63</v>
      </c>
      <c r="C12" s="7">
        <v>0.02</v>
      </c>
      <c r="D12" s="7">
        <v>5.0000000000000001E-3</v>
      </c>
      <c r="E12" s="7">
        <v>5.0000000000000001E-3</v>
      </c>
      <c r="F12" s="7"/>
      <c r="G12" s="7"/>
      <c r="H12" s="7"/>
      <c r="I12" s="7"/>
      <c r="J12" s="7"/>
    </row>
    <row r="13" spans="1:11" x14ac:dyDescent="0.4">
      <c r="A13" s="4" t="s">
        <v>64</v>
      </c>
      <c r="C13" s="7">
        <v>7.4999999999999997E-3</v>
      </c>
      <c r="D13" s="7">
        <v>1.2500000000000001E-2</v>
      </c>
      <c r="E13" s="7">
        <v>1.2500000000000001E-2</v>
      </c>
      <c r="F13" s="7"/>
      <c r="G13" s="7"/>
      <c r="H13" s="7"/>
      <c r="I13" s="7"/>
      <c r="J13" s="7"/>
    </row>
    <row r="14" spans="1:11" x14ac:dyDescent="0.4">
      <c r="A14" s="4" t="s">
        <v>65</v>
      </c>
      <c r="C14" s="9">
        <v>1</v>
      </c>
      <c r="D14" s="9">
        <v>0.85</v>
      </c>
      <c r="E14" s="9">
        <v>1</v>
      </c>
      <c r="F14" s="9"/>
      <c r="G14" s="9"/>
      <c r="H14" s="9"/>
      <c r="I14" s="9"/>
      <c r="J14" s="9"/>
    </row>
    <row r="15" spans="1:11" x14ac:dyDescent="0.4">
      <c r="A15" s="4" t="s">
        <v>66</v>
      </c>
      <c r="C15" s="7">
        <v>6.5000000000000002E-2</v>
      </c>
      <c r="D15" s="7">
        <v>6.5000000000000002E-2</v>
      </c>
      <c r="E15" s="7">
        <v>6.5000000000000002E-2</v>
      </c>
      <c r="F15" s="7"/>
      <c r="G15" s="7"/>
      <c r="H15" s="7"/>
      <c r="I15" s="7"/>
      <c r="J15" s="7"/>
    </row>
    <row r="16" spans="1:11" x14ac:dyDescent="0.4">
      <c r="A16" s="4" t="s">
        <v>67</v>
      </c>
      <c r="C16" s="11">
        <f>MAX((Inputs!B18+C14*(1+(1-Inputs!B22)*Inputs!B21)*Inputs!B19+IF(ISBLANK(C17),Inputs!B24,C17)+Inputs!B25)*Inputs!B29+Inputs!B28*Inputs!B30,C15)</f>
        <v>8.4899047619047624E-2</v>
      </c>
      <c r="D16" s="11">
        <f>MAX((Inputs!B18+D14*(1+(1-Inputs!B22)*Inputs!B21)*Inputs!B19+IF(ISBLANK(D17),Inputs!B24,D17)+Inputs!B25)*Inputs!B29+Inputs!B28*Inputs!B30,D15)</f>
        <v>7.7686190476190478E-2</v>
      </c>
      <c r="E16" s="11">
        <f>MAX((Inputs!B18+E14*(1+(1-Inputs!B22)*Inputs!B21)*Inputs!B19+IF(ISBLANK(E17),Inputs!B24,E17)+Inputs!B25)*Inputs!B29+Inputs!B28*Inputs!B30,E15)</f>
        <v>8.4899047619047624E-2</v>
      </c>
      <c r="F16" s="11">
        <f>MAX((Inputs!B18+F14*(1+(1-Inputs!B22)*Inputs!B21)*Inputs!B19+IF(ISBLANK(F17),Inputs!B24,F17)+Inputs!B25)*Inputs!B29+Inputs!B28*Inputs!B30,F15)</f>
        <v>3.6813333333333337E-2</v>
      </c>
      <c r="G16" s="11">
        <f>MAX((Inputs!B18+G14*(1+(1-Inputs!B22)*Inputs!B21)*Inputs!B19+IF(ISBLANK(G17),Inputs!B24,G17)+Inputs!B25)*Inputs!B29+Inputs!B28*Inputs!B30,G15)</f>
        <v>3.6813333333333337E-2</v>
      </c>
      <c r="H16" s="11">
        <f>MAX((Inputs!B18+H14*(1+(1-Inputs!B22)*Inputs!B21)*Inputs!B19+IF(ISBLANK(H17),Inputs!B24,H17)+Inputs!B25)*Inputs!B29+Inputs!B28*Inputs!B30,H15)</f>
        <v>3.6813333333333337E-2</v>
      </c>
      <c r="I16" s="11">
        <f>MAX((Inputs!B18+I14*(1+(1-Inputs!B22)*Inputs!B21)*Inputs!B19+IF(ISBLANK(I17),Inputs!B24,I17)+Inputs!B25)*Inputs!B29+Inputs!B28*Inputs!B30,I15)</f>
        <v>3.6813333333333337E-2</v>
      </c>
      <c r="J16" s="11">
        <f>MAX((Inputs!B18+J14*(1+(1-Inputs!B22)*Inputs!B21)*Inputs!B19+IF(ISBLANK(J17),Inputs!B24,J17)+Inputs!B25)*Inputs!B29+Inputs!B28*Inputs!B30,J15)</f>
        <v>3.6813333333333337E-2</v>
      </c>
    </row>
    <row r="17" spans="1:10" x14ac:dyDescent="0.4">
      <c r="A17" s="16" t="s">
        <v>68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69</v>
      </c>
      <c r="C18" s="18" t="s">
        <v>70</v>
      </c>
      <c r="D18" s="18" t="s">
        <v>71</v>
      </c>
      <c r="E18" s="18" t="s">
        <v>72</v>
      </c>
      <c r="F18" s="18"/>
      <c r="G18" s="18"/>
      <c r="H18" s="18"/>
      <c r="I18" s="18"/>
      <c r="J18" s="18"/>
    </row>
    <row r="19" spans="1:10" ht="40" customHeight="1" x14ac:dyDescent="0.4">
      <c r="A19" s="17" t="s">
        <v>73</v>
      </c>
      <c r="C19" s="18" t="s">
        <v>74</v>
      </c>
      <c r="D19" s="18" t="s">
        <v>75</v>
      </c>
      <c r="E19" s="18" t="s">
        <v>76</v>
      </c>
      <c r="F19" s="18"/>
      <c r="G19" s="18"/>
      <c r="H19" s="18"/>
      <c r="I19" s="18"/>
      <c r="J19" s="18"/>
    </row>
    <row r="20" spans="1:10" ht="28" customHeight="1" x14ac:dyDescent="0.4">
      <c r="A20" s="17" t="s">
        <v>77</v>
      </c>
      <c r="C20" s="18" t="s">
        <v>78</v>
      </c>
      <c r="D20" s="18" t="s">
        <v>79</v>
      </c>
      <c r="E20" s="18" t="s">
        <v>80</v>
      </c>
      <c r="F20" s="18"/>
      <c r="G20" s="18"/>
      <c r="H20" s="18"/>
      <c r="I20" s="18"/>
      <c r="J20" s="18"/>
    </row>
    <row r="21" spans="1:10" x14ac:dyDescent="0.4">
      <c r="A21" s="4" t="s">
        <v>81</v>
      </c>
      <c r="C21" s="6">
        <f t="shared" ref="C21:J21" si="0">C5*(1+C6)^1</f>
        <v>21405.78</v>
      </c>
      <c r="D21" s="6">
        <f t="shared" si="0"/>
        <v>17829</v>
      </c>
      <c r="E21" s="6">
        <f t="shared" si="0"/>
        <v>5802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82</v>
      </c>
      <c r="C22" s="6">
        <f t="shared" ref="C22:J22" si="1">C5*(1+C6)^2</f>
        <v>21191.7222</v>
      </c>
      <c r="D22" s="6">
        <f t="shared" si="1"/>
        <v>17829</v>
      </c>
      <c r="E22" s="6">
        <f t="shared" si="1"/>
        <v>5802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83</v>
      </c>
      <c r="C23" s="6">
        <f t="shared" ref="C23:J23" si="2">C5*(1+C6)^3</f>
        <v>20979.804977999996</v>
      </c>
      <c r="D23" s="6">
        <f t="shared" si="2"/>
        <v>17829</v>
      </c>
      <c r="E23" s="6">
        <f t="shared" si="2"/>
        <v>5802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84</v>
      </c>
      <c r="C24" s="6">
        <f t="shared" ref="C24:J24" si="3">C5*(1+C6)^4</f>
        <v>20770.006928219998</v>
      </c>
      <c r="D24" s="6">
        <f t="shared" si="3"/>
        <v>17829</v>
      </c>
      <c r="E24" s="6">
        <f t="shared" si="3"/>
        <v>5802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85</v>
      </c>
      <c r="C25" s="6">
        <f t="shared" ref="C25:J25" si="4">C5*(1+C6)^5</f>
        <v>20562.306858937798</v>
      </c>
      <c r="D25" s="6">
        <f t="shared" si="4"/>
        <v>17829</v>
      </c>
      <c r="E25" s="6">
        <f t="shared" si="4"/>
        <v>5802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7" spans="1:10" x14ac:dyDescent="0.4">
      <c r="A27" s="4" t="s">
        <v>86</v>
      </c>
      <c r="C27" s="11">
        <f t="shared" ref="C27:J27" si="5">IF(ISBLANK(C9),C7,C7+(C9-C7)*(0)/4)</f>
        <v>8.8000000000000009E-2</v>
      </c>
      <c r="D27" s="11">
        <f t="shared" si="5"/>
        <v>0.14499999999999999</v>
      </c>
      <c r="E27" s="11">
        <f t="shared" si="5"/>
        <v>0.151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87</v>
      </c>
      <c r="C28" s="11">
        <f t="shared" ref="C28:J28" si="6">IF(ISBLANK(C9),C7,C7+(C9-C7)*(1)/4)</f>
        <v>9.6000000000000002E-2</v>
      </c>
      <c r="D28" s="11">
        <f t="shared" si="6"/>
        <v>0.14374999999999999</v>
      </c>
      <c r="E28" s="11">
        <f t="shared" si="6"/>
        <v>0.15075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88</v>
      </c>
      <c r="C29" s="11">
        <f t="shared" ref="C29:J29" si="7">IF(ISBLANK(C9),C7,C7+(C9-C7)*(2)/4)</f>
        <v>0.10400000000000001</v>
      </c>
      <c r="D29" s="11">
        <f t="shared" si="7"/>
        <v>0.14250000000000002</v>
      </c>
      <c r="E29" s="11">
        <f t="shared" si="7"/>
        <v>0.15049999999999999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89</v>
      </c>
      <c r="C30" s="11">
        <f t="shared" ref="C30:J30" si="8">IF(ISBLANK(C9),C7,C7+(C9-C7)*(3)/4)</f>
        <v>0.112</v>
      </c>
      <c r="D30" s="11">
        <f t="shared" si="8"/>
        <v>0.14125000000000001</v>
      </c>
      <c r="E30" s="11">
        <f t="shared" si="8"/>
        <v>0.15024999999999999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90</v>
      </c>
      <c r="C31" s="11">
        <f t="shared" ref="C31:J31" si="9">IF(ISBLANK(C9),C7,C7+(C9-C7)*(4)/4)</f>
        <v>0.12</v>
      </c>
      <c r="D31" s="11">
        <f t="shared" si="9"/>
        <v>0.14000000000000001</v>
      </c>
      <c r="E31" s="11">
        <f t="shared" si="9"/>
        <v>0.15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91</v>
      </c>
      <c r="C33" s="6">
        <f t="shared" ref="C33:J37" si="10">C21*C27</f>
        <v>1883.7086400000001</v>
      </c>
      <c r="D33" s="6">
        <f t="shared" si="10"/>
        <v>2585.2049999999999</v>
      </c>
      <c r="E33" s="6">
        <f t="shared" si="10"/>
        <v>876.10199999999998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92</v>
      </c>
      <c r="C34" s="6">
        <f t="shared" si="10"/>
        <v>2034.4053312000001</v>
      </c>
      <c r="D34" s="6">
        <f t="shared" si="10"/>
        <v>2562.9187499999998</v>
      </c>
      <c r="E34" s="6">
        <f t="shared" si="10"/>
        <v>874.65149999999994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93</v>
      </c>
      <c r="C35" s="6">
        <f t="shared" si="10"/>
        <v>2181.899717712</v>
      </c>
      <c r="D35" s="6">
        <f t="shared" si="10"/>
        <v>2540.6325000000002</v>
      </c>
      <c r="E35" s="6">
        <f t="shared" si="10"/>
        <v>873.20100000000002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94</v>
      </c>
      <c r="C36" s="6">
        <f t="shared" si="10"/>
        <v>2326.2407759606399</v>
      </c>
      <c r="D36" s="6">
        <f t="shared" si="10"/>
        <v>2518.3462500000001</v>
      </c>
      <c r="E36" s="6">
        <f t="shared" si="10"/>
        <v>871.75049999999999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95</v>
      </c>
      <c r="C37" s="6">
        <f t="shared" si="10"/>
        <v>2467.4768230725358</v>
      </c>
      <c r="D37" s="6">
        <f t="shared" si="10"/>
        <v>2496.0600000000004</v>
      </c>
      <c r="E37" s="6">
        <f t="shared" si="10"/>
        <v>870.3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96</v>
      </c>
      <c r="C39" s="6">
        <f>C33*(1-Inputs!B22)</f>
        <v>1431.6185664</v>
      </c>
      <c r="D39" s="6">
        <f>D33*(1-Inputs!B22)</f>
        <v>1964.7557999999999</v>
      </c>
      <c r="E39" s="6">
        <f>E33*(1-Inputs!B22)</f>
        <v>665.83752000000004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97</v>
      </c>
      <c r="C40" s="6">
        <f>C34*(1-Inputs!B22)</f>
        <v>1546.1480517120001</v>
      </c>
      <c r="D40" s="6">
        <f>D34*(1-Inputs!B22)</f>
        <v>1947.8182499999998</v>
      </c>
      <c r="E40" s="6">
        <f>E34*(1-Inputs!B22)</f>
        <v>664.73514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98</v>
      </c>
      <c r="C41" s="6">
        <f>C35*(1-Inputs!B22)</f>
        <v>1658.2437854611201</v>
      </c>
      <c r="D41" s="6">
        <f>D35*(1-Inputs!B22)</f>
        <v>1930.8807000000002</v>
      </c>
      <c r="E41" s="6">
        <f>E35*(1-Inputs!B22)</f>
        <v>663.63276000000008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99</v>
      </c>
      <c r="C42" s="6">
        <f>C36*(1-Inputs!B22)</f>
        <v>1767.9429897300863</v>
      </c>
      <c r="D42" s="6">
        <f>D36*(1-Inputs!B22)</f>
        <v>1913.9431500000001</v>
      </c>
      <c r="E42" s="6">
        <f>E36*(1-Inputs!B22)</f>
        <v>662.53038000000004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100</v>
      </c>
      <c r="C43" s="6">
        <f>C37*(1-Inputs!B22)</f>
        <v>1875.2823855351273</v>
      </c>
      <c r="D43" s="6">
        <f>D37*(1-Inputs!B22)</f>
        <v>1897.0056000000004</v>
      </c>
      <c r="E43" s="6">
        <f>E37*(1-Inputs!B22)</f>
        <v>661.428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101</v>
      </c>
      <c r="C45" s="6">
        <f t="shared" ref="C45:J45" si="11">C21*C12</f>
        <v>428.11559999999997</v>
      </c>
      <c r="D45" s="6">
        <f t="shared" si="11"/>
        <v>89.144999999999996</v>
      </c>
      <c r="E45" s="6">
        <f t="shared" si="11"/>
        <v>29.01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102</v>
      </c>
      <c r="C46" s="6">
        <f t="shared" ref="C46:J46" si="12">C22*C12</f>
        <v>423.83444400000002</v>
      </c>
      <c r="D46" s="6">
        <f t="shared" si="12"/>
        <v>89.144999999999996</v>
      </c>
      <c r="E46" s="6">
        <f t="shared" si="12"/>
        <v>29.01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103</v>
      </c>
      <c r="C47" s="6">
        <f t="shared" ref="C47:J47" si="13">C23*C12</f>
        <v>419.59609955999991</v>
      </c>
      <c r="D47" s="6">
        <f t="shared" si="13"/>
        <v>89.144999999999996</v>
      </c>
      <c r="E47" s="6">
        <f t="shared" si="13"/>
        <v>29.01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104</v>
      </c>
      <c r="C48" s="6">
        <f t="shared" ref="C48:J48" si="14">C24*C12</f>
        <v>415.40013856439998</v>
      </c>
      <c r="D48" s="6">
        <f t="shared" si="14"/>
        <v>89.144999999999996</v>
      </c>
      <c r="E48" s="6">
        <f t="shared" si="14"/>
        <v>29.01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105</v>
      </c>
      <c r="C49" s="6">
        <f t="shared" ref="C49:J49" si="15">C25*C12</f>
        <v>411.24613717875599</v>
      </c>
      <c r="D49" s="6">
        <f t="shared" si="15"/>
        <v>89.144999999999996</v>
      </c>
      <c r="E49" s="6">
        <f t="shared" si="15"/>
        <v>29.01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106</v>
      </c>
      <c r="C51" s="6">
        <f t="shared" ref="C51:J55" si="16">C39-C45</f>
        <v>1003.5029664</v>
      </c>
      <c r="D51" s="6">
        <f t="shared" si="16"/>
        <v>1875.6107999999999</v>
      </c>
      <c r="E51" s="6">
        <f t="shared" si="16"/>
        <v>636.82752000000005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107</v>
      </c>
      <c r="C52" s="6">
        <f t="shared" si="16"/>
        <v>1122.313607712</v>
      </c>
      <c r="D52" s="6">
        <f t="shared" si="16"/>
        <v>1858.6732499999998</v>
      </c>
      <c r="E52" s="6">
        <f t="shared" si="16"/>
        <v>635.72514000000001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108</v>
      </c>
      <c r="C53" s="6">
        <f t="shared" si="16"/>
        <v>1238.6476859011202</v>
      </c>
      <c r="D53" s="6">
        <f t="shared" si="16"/>
        <v>1841.7357000000002</v>
      </c>
      <c r="E53" s="6">
        <f t="shared" si="16"/>
        <v>634.62276000000008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109</v>
      </c>
      <c r="C54" s="6">
        <f t="shared" si="16"/>
        <v>1352.5428511656864</v>
      </c>
      <c r="D54" s="6">
        <f t="shared" si="16"/>
        <v>1824.7981500000001</v>
      </c>
      <c r="E54" s="6">
        <f t="shared" si="16"/>
        <v>633.52038000000005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110</v>
      </c>
      <c r="C55" s="6">
        <f t="shared" si="16"/>
        <v>1464.0362483563713</v>
      </c>
      <c r="D55" s="6">
        <f t="shared" si="16"/>
        <v>1807.8606000000004</v>
      </c>
      <c r="E55" s="6">
        <f t="shared" si="16"/>
        <v>632.41800000000001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111</v>
      </c>
      <c r="C57" s="6">
        <f t="shared" ref="C57:J57" si="17">C51/(1+C16)^1</f>
        <v>924.97358957252106</v>
      </c>
      <c r="D57" s="6">
        <f t="shared" si="17"/>
        <v>1740.4053393049746</v>
      </c>
      <c r="E57" s="6">
        <f t="shared" si="17"/>
        <v>586.99242238031366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112</v>
      </c>
      <c r="C58" s="6">
        <f t="shared" ref="C58:J58" si="18">C52/(1+C16)^2</f>
        <v>953.53265961518218</v>
      </c>
      <c r="D58" s="6">
        <f t="shared" si="18"/>
        <v>1600.3626718115277</v>
      </c>
      <c r="E58" s="6">
        <f t="shared" si="18"/>
        <v>540.12058604923266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113</v>
      </c>
      <c r="C59" s="6">
        <f t="shared" ref="C59:J59" si="19">C53/(1+C16)^3</f>
        <v>970.01804131546487</v>
      </c>
      <c r="D59" s="6">
        <f t="shared" si="19"/>
        <v>1471.4664112531977</v>
      </c>
      <c r="E59" s="6">
        <f t="shared" si="19"/>
        <v>496.99001066761508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114</v>
      </c>
      <c r="C60" s="6">
        <f t="shared" ref="C60:J60" si="20">C54/(1+C16)^4</f>
        <v>976.32345192654759</v>
      </c>
      <c r="D60" s="6">
        <f t="shared" si="20"/>
        <v>1352.8372741593553</v>
      </c>
      <c r="E60" s="6">
        <f t="shared" si="20"/>
        <v>457.3021873091468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115</v>
      </c>
      <c r="C61" s="6">
        <f t="shared" ref="C61:J61" si="21">C55/(1+C16)^5</f>
        <v>974.10369308460201</v>
      </c>
      <c r="D61" s="6">
        <f t="shared" si="21"/>
        <v>1243.6648240373959</v>
      </c>
      <c r="E61" s="6">
        <f t="shared" si="21"/>
        <v>420.78241578020209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116</v>
      </c>
    </row>
    <row r="63" spans="1:10" x14ac:dyDescent="0.4">
      <c r="A63" s="4" t="s">
        <v>117</v>
      </c>
      <c r="C63" s="6">
        <f t="shared" ref="C63:J63" si="22">C25*(1+(C6+(C13-C6)*1/5))</f>
        <v>20428.651864354702</v>
      </c>
      <c r="D63" s="6">
        <f t="shared" si="22"/>
        <v>17873.572499999998</v>
      </c>
      <c r="E63" s="6">
        <f t="shared" si="22"/>
        <v>5816.5050000000001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118</v>
      </c>
      <c r="C64" s="6">
        <f t="shared" ref="C64:J64" si="23">C63*(1+(C6+(C13-C6)*2/5))</f>
        <v>20367.36590876164</v>
      </c>
      <c r="D64" s="6">
        <f t="shared" si="23"/>
        <v>17962.940362499998</v>
      </c>
      <c r="E64" s="6">
        <f t="shared" si="23"/>
        <v>5845.5875249999999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119</v>
      </c>
      <c r="C65" s="6">
        <f t="shared" ref="C65:J65" si="24">C64*(1+(C6+(C13-C6)*3/5))</f>
        <v>20377.549591716019</v>
      </c>
      <c r="D65" s="6">
        <f t="shared" si="24"/>
        <v>18097.662415218751</v>
      </c>
      <c r="E65" s="6">
        <f t="shared" si="24"/>
        <v>5889.4294314375002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120</v>
      </c>
      <c r="C66" s="6">
        <f t="shared" ref="C66:J66" si="25">C65*(1+(C6+(C13-C6)*4/5))</f>
        <v>20459.059790082883</v>
      </c>
      <c r="D66" s="6">
        <f t="shared" si="25"/>
        <v>18278.639039370937</v>
      </c>
      <c r="E66" s="6">
        <f t="shared" si="25"/>
        <v>5948.3237257518749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121</v>
      </c>
      <c r="C67" s="6">
        <f t="shared" ref="C67:J67" si="26">C66*(1+(C6+(C13-C6)*5/5))</f>
        <v>20612.502738508505</v>
      </c>
      <c r="D67" s="6">
        <f t="shared" si="26"/>
        <v>18507.122027363072</v>
      </c>
      <c r="E67" s="6">
        <f t="shared" si="26"/>
        <v>6022.6777723237728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122</v>
      </c>
      <c r="C69" s="11">
        <f t="shared" ref="C69:J69" si="27">IF(ISBLANK(C9),C7,C9)</f>
        <v>0.12</v>
      </c>
      <c r="D69" s="11">
        <f t="shared" si="27"/>
        <v>0.14000000000000001</v>
      </c>
      <c r="E69" s="11">
        <f t="shared" si="27"/>
        <v>0.15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123</v>
      </c>
      <c r="C70" s="11">
        <f t="shared" ref="C70:J70" si="28">IF(ISBLANK(C9),C7,C9)</f>
        <v>0.12</v>
      </c>
      <c r="D70" s="11">
        <f t="shared" si="28"/>
        <v>0.14000000000000001</v>
      </c>
      <c r="E70" s="11">
        <f t="shared" si="28"/>
        <v>0.15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124</v>
      </c>
      <c r="C71" s="11">
        <f t="shared" ref="C71:J71" si="29">IF(ISBLANK(C9),C7,C9)</f>
        <v>0.12</v>
      </c>
      <c r="D71" s="11">
        <f t="shared" si="29"/>
        <v>0.14000000000000001</v>
      </c>
      <c r="E71" s="11">
        <f t="shared" si="29"/>
        <v>0.15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125</v>
      </c>
      <c r="C72" s="11">
        <f t="shared" ref="C72:J72" si="30">IF(ISBLANK(C9),C7,C9)</f>
        <v>0.12</v>
      </c>
      <c r="D72" s="11">
        <f t="shared" si="30"/>
        <v>0.14000000000000001</v>
      </c>
      <c r="E72" s="11">
        <f t="shared" si="30"/>
        <v>0.15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126</v>
      </c>
      <c r="C73" s="11">
        <f t="shared" ref="C73:J73" si="31">IF(ISBLANK(C9),C7,C9)</f>
        <v>0.12</v>
      </c>
      <c r="D73" s="11">
        <f t="shared" si="31"/>
        <v>0.14000000000000001</v>
      </c>
      <c r="E73" s="11">
        <f t="shared" si="31"/>
        <v>0.15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127</v>
      </c>
      <c r="C75" s="6">
        <f t="shared" ref="C75:J79" si="32">C63*C69</f>
        <v>2451.4382237225641</v>
      </c>
      <c r="D75" s="6">
        <f t="shared" si="32"/>
        <v>2502.30015</v>
      </c>
      <c r="E75" s="6">
        <f t="shared" si="32"/>
        <v>872.47574999999995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128</v>
      </c>
      <c r="C76" s="6">
        <f t="shared" si="32"/>
        <v>2444.0839090513969</v>
      </c>
      <c r="D76" s="6">
        <f t="shared" si="32"/>
        <v>2514.8116507499999</v>
      </c>
      <c r="E76" s="6">
        <f t="shared" si="32"/>
        <v>876.83812875000001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129</v>
      </c>
      <c r="C77" s="6">
        <f t="shared" si="32"/>
        <v>2445.305951005922</v>
      </c>
      <c r="D77" s="6">
        <f t="shared" si="32"/>
        <v>2533.6727381306255</v>
      </c>
      <c r="E77" s="6">
        <f t="shared" si="32"/>
        <v>883.41441471562496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130</v>
      </c>
      <c r="C78" s="6">
        <f t="shared" si="32"/>
        <v>2455.0871748099457</v>
      </c>
      <c r="D78" s="6">
        <f t="shared" si="32"/>
        <v>2559.0094655119315</v>
      </c>
      <c r="E78" s="6">
        <f t="shared" si="32"/>
        <v>892.24855886278124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131</v>
      </c>
      <c r="C79" s="6">
        <f t="shared" si="32"/>
        <v>2473.5003286210203</v>
      </c>
      <c r="D79" s="6">
        <f t="shared" si="32"/>
        <v>2590.9970838308304</v>
      </c>
      <c r="E79" s="6">
        <f t="shared" si="32"/>
        <v>903.40166584856593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132</v>
      </c>
      <c r="C81" s="6">
        <f>C75*(1-Inputs!B22)</f>
        <v>1863.0930500291488</v>
      </c>
      <c r="D81" s="6">
        <f>D75*(1-Inputs!B22)</f>
        <v>1901.748114</v>
      </c>
      <c r="E81" s="6">
        <f>E75*(1-Inputs!B22)</f>
        <v>663.08156999999994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133</v>
      </c>
      <c r="C82" s="6">
        <f>C76*(1-Inputs!B22)</f>
        <v>1857.5037708790617</v>
      </c>
      <c r="D82" s="6">
        <f>D76*(1-Inputs!B22)</f>
        <v>1911.2568545699999</v>
      </c>
      <c r="E82" s="6">
        <f>E76*(1-Inputs!B22)</f>
        <v>666.39697784999998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134</v>
      </c>
      <c r="C83" s="6">
        <f>C77*(1-Inputs!B22)</f>
        <v>1858.4325227645008</v>
      </c>
      <c r="D83" s="6">
        <f>D77*(1-Inputs!B22)</f>
        <v>1925.5912809792753</v>
      </c>
      <c r="E83" s="6">
        <f>E77*(1-Inputs!B22)</f>
        <v>671.39495518387503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135</v>
      </c>
      <c r="C84" s="6">
        <f>C78*(1-Inputs!B22)</f>
        <v>1865.8662528555587</v>
      </c>
      <c r="D84" s="6">
        <f>D78*(1-Inputs!B22)</f>
        <v>1944.8471937890679</v>
      </c>
      <c r="E84" s="6">
        <f>E78*(1-Inputs!B22)</f>
        <v>678.10890473571374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136</v>
      </c>
      <c r="C85" s="6">
        <f>C79*(1-Inputs!B22)</f>
        <v>1879.8602497519755</v>
      </c>
      <c r="D85" s="6">
        <f>D79*(1-Inputs!B22)</f>
        <v>1969.1577837114312</v>
      </c>
      <c r="E85" s="6">
        <f>E79*(1-Inputs!B22)</f>
        <v>686.5852660449101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137</v>
      </c>
      <c r="C87" s="6">
        <f t="shared" ref="C87:J87" si="33">C63*MAX(C12,0)</f>
        <v>408.57303728709405</v>
      </c>
      <c r="D87" s="6">
        <f t="shared" si="33"/>
        <v>89.367862499999987</v>
      </c>
      <c r="E87" s="6">
        <f t="shared" si="33"/>
        <v>29.082525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138</v>
      </c>
      <c r="C88" s="6">
        <f t="shared" ref="C88:J88" si="34">C64*MAX(C12,0)</f>
        <v>407.34731817523283</v>
      </c>
      <c r="D88" s="6">
        <f t="shared" si="34"/>
        <v>89.81470181249999</v>
      </c>
      <c r="E88" s="6">
        <f t="shared" si="34"/>
        <v>29.227937624999999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139</v>
      </c>
      <c r="C89" s="6">
        <f t="shared" ref="C89:J89" si="35">C65*MAX(C12,0)</f>
        <v>407.55099183432037</v>
      </c>
      <c r="D89" s="6">
        <f t="shared" si="35"/>
        <v>90.488312076093749</v>
      </c>
      <c r="E89" s="6">
        <f t="shared" si="35"/>
        <v>29.447147157187501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140</v>
      </c>
      <c r="C90" s="6">
        <f t="shared" ref="C90:J90" si="36">C66*MAX(C12,0)</f>
        <v>409.18119580165768</v>
      </c>
      <c r="D90" s="6">
        <f t="shared" si="36"/>
        <v>91.393195196854691</v>
      </c>
      <c r="E90" s="6">
        <f t="shared" si="36"/>
        <v>29.741618628759376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141</v>
      </c>
      <c r="C91" s="6">
        <f t="shared" ref="C91:J91" si="37">C67*MAX(C12,0)</f>
        <v>412.2500547701701</v>
      </c>
      <c r="D91" s="6">
        <f t="shared" si="37"/>
        <v>92.535610136815365</v>
      </c>
      <c r="E91" s="6">
        <f t="shared" si="37"/>
        <v>30.113388861618866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142</v>
      </c>
      <c r="C93" s="6">
        <f t="shared" ref="C93:J97" si="38">C81-C87</f>
        <v>1454.5200127420549</v>
      </c>
      <c r="D93" s="6">
        <f t="shared" si="38"/>
        <v>1812.3802515</v>
      </c>
      <c r="E93" s="6">
        <f t="shared" si="38"/>
        <v>633.99904499999991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143</v>
      </c>
      <c r="C94" s="6">
        <f t="shared" si="38"/>
        <v>1450.1564527038288</v>
      </c>
      <c r="D94" s="6">
        <f t="shared" si="38"/>
        <v>1821.4421527574998</v>
      </c>
      <c r="E94" s="6">
        <f t="shared" si="38"/>
        <v>637.169040225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144</v>
      </c>
      <c r="C95" s="6">
        <f t="shared" si="38"/>
        <v>1450.8815309301804</v>
      </c>
      <c r="D95" s="6">
        <f t="shared" si="38"/>
        <v>1835.1029689031816</v>
      </c>
      <c r="E95" s="6">
        <f t="shared" si="38"/>
        <v>641.94780802668754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145</v>
      </c>
      <c r="C96" s="6">
        <f t="shared" si="38"/>
        <v>1456.6850570539011</v>
      </c>
      <c r="D96" s="6">
        <f t="shared" si="38"/>
        <v>1853.4539985922131</v>
      </c>
      <c r="E96" s="6">
        <f t="shared" si="38"/>
        <v>648.36728610695434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146</v>
      </c>
      <c r="C97" s="6">
        <f t="shared" si="38"/>
        <v>1467.6101949818053</v>
      </c>
      <c r="D97" s="6">
        <f t="shared" si="38"/>
        <v>1876.6221735746158</v>
      </c>
      <c r="E97" s="6">
        <f t="shared" si="38"/>
        <v>656.47187718329121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147</v>
      </c>
      <c r="C99" s="6">
        <f t="shared" ref="C99:J99" si="39">C93/(1+C16)^6</f>
        <v>892.03877651423318</v>
      </c>
      <c r="D99" s="6">
        <f t="shared" si="39"/>
        <v>1156.8989165079538</v>
      </c>
      <c r="E99" s="6">
        <f t="shared" si="39"/>
        <v>388.82361704107217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148</v>
      </c>
      <c r="C100" s="6">
        <f t="shared" ref="C100:J100" si="40">C94/(1+C16)^7</f>
        <v>819.76536170486349</v>
      </c>
      <c r="D100" s="6">
        <f t="shared" si="40"/>
        <v>1078.8701027863647</v>
      </c>
      <c r="E100" s="6">
        <f t="shared" si="40"/>
        <v>360.18810780954072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149</v>
      </c>
      <c r="C101" s="6">
        <f t="shared" ref="C101:J101" si="41">C95/(1+C16)^8</f>
        <v>755.99222451683147</v>
      </c>
      <c r="D101" s="6">
        <f t="shared" si="41"/>
        <v>1008.606807958608</v>
      </c>
      <c r="E101" s="6">
        <f t="shared" si="41"/>
        <v>334.49150814033862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150</v>
      </c>
      <c r="C102" s="6">
        <f t="shared" ref="C102:J102" si="42">C96/(1+C16)^9</f>
        <v>699.61919044970944</v>
      </c>
      <c r="D102" s="6">
        <f t="shared" si="42"/>
        <v>945.25928330590409</v>
      </c>
      <c r="E102" s="6">
        <f t="shared" si="42"/>
        <v>311.39894902034257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151</v>
      </c>
      <c r="C103" s="6">
        <f t="shared" ref="C103:J103" si="43">C97/(1+C16)^10</f>
        <v>649.70684224030174</v>
      </c>
      <c r="D103" s="6">
        <f t="shared" si="43"/>
        <v>888.08322200392217</v>
      </c>
      <c r="E103" s="6">
        <f t="shared" si="43"/>
        <v>290.61822533169783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5" spans="1:11" x14ac:dyDescent="0.4">
      <c r="A105" s="4" t="s">
        <v>152</v>
      </c>
      <c r="C105" s="6">
        <f t="shared" ref="C105:J105" si="44">SUM(C57:C61,C99:C103)</f>
        <v>8616.0738309402568</v>
      </c>
      <c r="D105" s="6">
        <f t="shared" si="44"/>
        <v>12486.454853129204</v>
      </c>
      <c r="E105" s="6">
        <f t="shared" si="44"/>
        <v>4187.7080295295018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153</v>
      </c>
      <c r="C106" s="6">
        <f t="shared" ref="C106:J106" si="45">IF(C5=0,0,C97*(1+C13)/(C16-C13))</f>
        <v>19103.817384443973</v>
      </c>
      <c r="D106" s="6">
        <f t="shared" si="45"/>
        <v>29148.504259323305</v>
      </c>
      <c r="E106" s="6">
        <f t="shared" si="45"/>
        <v>9180.7530279336261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154</v>
      </c>
      <c r="C107" s="6">
        <f t="shared" ref="C107:J107" si="46">C106/(1+C16)^10</f>
        <v>8457.2054010134143</v>
      </c>
      <c r="D107" s="6">
        <f t="shared" si="46"/>
        <v>13794.091290047112</v>
      </c>
      <c r="E107" s="6">
        <f t="shared" si="46"/>
        <v>4064.2931478414766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155</v>
      </c>
      <c r="C109" s="20">
        <f t="shared" ref="C109:J109" si="47">C105+C107</f>
        <v>17073.279231953671</v>
      </c>
      <c r="D109" s="20">
        <f t="shared" si="47"/>
        <v>26280.546143176318</v>
      </c>
      <c r="E109" s="20">
        <f t="shared" si="47"/>
        <v>8252.0011773709775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51605.82655250097</v>
      </c>
    </row>
    <row r="110" spans="1:11" x14ac:dyDescent="0.4">
      <c r="A110" s="4" t="s">
        <v>156</v>
      </c>
      <c r="K110" s="11">
        <f>IFERROR(SUMPRODUCT(C109:J109,C16:J16)/SUM(C109:J109),0)</f>
        <v>8.1225861127709256E-2</v>
      </c>
    </row>
    <row r="111" spans="1:11" x14ac:dyDescent="0.4">
      <c r="A111" s="4" t="s">
        <v>157</v>
      </c>
      <c r="K111" s="5">
        <v>29843</v>
      </c>
    </row>
    <row r="112" spans="1:11" x14ac:dyDescent="0.4">
      <c r="A112" s="4" t="s">
        <v>158</v>
      </c>
      <c r="K112" s="5">
        <v>25</v>
      </c>
    </row>
    <row r="113" spans="1:11" x14ac:dyDescent="0.4">
      <c r="A113" s="4" t="s">
        <v>159</v>
      </c>
      <c r="K113" s="5">
        <v>-8721.6714407178424</v>
      </c>
    </row>
    <row r="114" spans="1:11" x14ac:dyDescent="0.4">
      <c r="A114" s="4" t="s">
        <v>160</v>
      </c>
      <c r="K114" s="5">
        <v>0</v>
      </c>
    </row>
    <row r="115" spans="1:11" x14ac:dyDescent="0.4">
      <c r="A115" s="4" t="s">
        <v>161</v>
      </c>
      <c r="K115" s="5">
        <v>0</v>
      </c>
    </row>
    <row r="116" spans="1:11" x14ac:dyDescent="0.4">
      <c r="A116" s="4" t="s">
        <v>162</v>
      </c>
      <c r="K116" s="5">
        <v>-1085</v>
      </c>
    </row>
    <row r="117" spans="1:11" x14ac:dyDescent="0.4">
      <c r="A117" s="4" t="s">
        <v>163</v>
      </c>
      <c r="K117" s="5">
        <v>0</v>
      </c>
    </row>
    <row r="119" spans="1:11" x14ac:dyDescent="0.4">
      <c r="A119" s="4" t="e">
        <f>Equity Value</f>
        <v>#NAME?</v>
      </c>
      <c r="K119" s="20">
        <f>K109+K113+K114+K115+K116+K117-K111-K112</f>
        <v>11931.155111783126</v>
      </c>
    </row>
    <row r="120" spans="1:11" x14ac:dyDescent="0.4">
      <c r="A120" s="4" t="s">
        <v>164</v>
      </c>
      <c r="K120" s="6">
        <f>Inputs!B11</f>
        <v>982.42</v>
      </c>
    </row>
    <row r="122" spans="1:11" ht="15.9" customHeight="1" x14ac:dyDescent="0.45">
      <c r="A122" s="4" t="s">
        <v>165</v>
      </c>
      <c r="K122" s="21">
        <f>K119/K120</f>
        <v>12.144658202991721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/>
  </sheetViews>
  <sheetFormatPr baseColWidth="10" defaultColWidth="9.23046875" defaultRowHeight="14.6" x14ac:dyDescent="0.4"/>
  <cols>
    <col min="1" max="1" width="28" customWidth="1"/>
    <col min="2" max="2" width="16" customWidth="1"/>
    <col min="3" max="3" width="14" customWidth="1"/>
    <col min="4" max="4" width="16" customWidth="1"/>
    <col min="5" max="5" width="50" customWidth="1"/>
  </cols>
  <sheetData>
    <row r="1" spans="1:5" ht="18.45" customHeight="1" x14ac:dyDescent="0.5">
      <c r="A1" s="1" t="s">
        <v>168</v>
      </c>
    </row>
    <row r="2" spans="1:5" x14ac:dyDescent="0.4">
      <c r="A2" s="2" t="s">
        <v>169</v>
      </c>
    </row>
    <row r="3" spans="1:5" x14ac:dyDescent="0.4">
      <c r="A3" s="2" t="s">
        <v>170</v>
      </c>
    </row>
    <row r="4" spans="1:5" x14ac:dyDescent="0.4">
      <c r="A4" s="22" t="s">
        <v>171</v>
      </c>
      <c r="B4" s="22" t="s">
        <v>172</v>
      </c>
      <c r="C4" s="22" t="s">
        <v>173</v>
      </c>
      <c r="D4" s="22" t="s">
        <v>174</v>
      </c>
      <c r="E4" s="22" t="s">
        <v>175</v>
      </c>
    </row>
    <row r="5" spans="1:5" ht="30" customHeight="1" x14ac:dyDescent="0.4">
      <c r="A5" s="23" t="s">
        <v>176</v>
      </c>
      <c r="B5" s="5">
        <v>-2500</v>
      </c>
      <c r="C5" s="7">
        <v>0.4</v>
      </c>
      <c r="D5" s="6">
        <f>IF(ISNUMBER(B5),B5*C5,"")</f>
        <v>-1000</v>
      </c>
      <c r="E5" s="24" t="s">
        <v>177</v>
      </c>
    </row>
    <row r="6" spans="1:5" ht="30" customHeight="1" x14ac:dyDescent="0.4">
      <c r="A6" s="23" t="s">
        <v>178</v>
      </c>
      <c r="B6" s="5">
        <v>-1500</v>
      </c>
      <c r="C6" s="7">
        <v>0.35</v>
      </c>
      <c r="D6" s="6">
        <f>IF(ISNUMBER(B6),B6*C6,"")</f>
        <v>-525</v>
      </c>
      <c r="E6" s="24" t="s">
        <v>179</v>
      </c>
    </row>
    <row r="7" spans="1:5" ht="30" customHeight="1" x14ac:dyDescent="0.4">
      <c r="A7" s="23" t="s">
        <v>180</v>
      </c>
      <c r="B7" s="5">
        <v>800</v>
      </c>
      <c r="C7" s="7">
        <v>0.55000000000000004</v>
      </c>
      <c r="D7" s="6">
        <f>IF(ISNUMBER(B7),B7*C7,"")</f>
        <v>440.00000000000006</v>
      </c>
      <c r="E7" s="24" t="s">
        <v>181</v>
      </c>
    </row>
    <row r="8" spans="1:5" ht="30" customHeight="1" x14ac:dyDescent="0.4">
      <c r="A8" s="23"/>
      <c r="B8" s="5"/>
      <c r="C8" s="7"/>
      <c r="D8" s="6" t="str">
        <f>IF(ISNUMBER(B8),B8*C8,"")</f>
        <v/>
      </c>
      <c r="E8" s="24"/>
    </row>
    <row r="9" spans="1:5" ht="30" customHeight="1" x14ac:dyDescent="0.4">
      <c r="A9" s="23"/>
      <c r="B9" s="5"/>
      <c r="C9" s="7"/>
      <c r="D9" s="6" t="str">
        <f>IF(ISNUMBER(B9),B9*C9,"")</f>
        <v/>
      </c>
      <c r="E9" s="24"/>
    </row>
    <row r="11" spans="1:5" x14ac:dyDescent="0.4">
      <c r="C11" s="4" t="s">
        <v>182</v>
      </c>
      <c r="D11" s="20">
        <f>SUM(D5:D9)</f>
        <v>-1085</v>
      </c>
    </row>
    <row r="12" spans="1:5" x14ac:dyDescent="0.4">
      <c r="C12" s="4" t="s">
        <v>183</v>
      </c>
      <c r="D12" s="20">
        <f>IF(Inputs!B11&gt;0,D11/Inputs!B11,"")</f>
        <v>-1.1044156267176972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workbookViewId="0"/>
  </sheetViews>
  <sheetFormatPr baseColWidth="10" defaultColWidth="9.23046875" defaultRowHeight="14.6" x14ac:dyDescent="0.4"/>
  <cols>
    <col min="1" max="1" width="30" customWidth="1"/>
    <col min="2" max="10" width="10" customWidth="1"/>
    <col min="11" max="11" width="8" customWidth="1"/>
    <col min="12" max="12" width="10" customWidth="1"/>
  </cols>
  <sheetData>
    <row r="1" spans="1:12" ht="18.45" customHeight="1" x14ac:dyDescent="0.5">
      <c r="A1" s="1" t="s">
        <v>184</v>
      </c>
    </row>
    <row r="2" spans="1:12" x14ac:dyDescent="0.4">
      <c r="A2" s="2" t="s">
        <v>185</v>
      </c>
    </row>
    <row r="4" spans="1:12" x14ac:dyDescent="0.4">
      <c r="A4" s="3" t="s">
        <v>186</v>
      </c>
    </row>
    <row r="5" spans="1:12" ht="29.15" customHeight="1" x14ac:dyDescent="0.4">
      <c r="A5" s="25" t="s">
        <v>187</v>
      </c>
      <c r="B5" s="25" t="s">
        <v>188</v>
      </c>
      <c r="C5" s="25" t="s">
        <v>189</v>
      </c>
      <c r="D5" s="25" t="s">
        <v>190</v>
      </c>
      <c r="E5" s="25" t="s">
        <v>191</v>
      </c>
      <c r="F5" s="25" t="s">
        <v>192</v>
      </c>
      <c r="G5" s="25" t="s">
        <v>193</v>
      </c>
      <c r="H5" s="25" t="s">
        <v>194</v>
      </c>
      <c r="I5" s="25" t="s">
        <v>195</v>
      </c>
      <c r="J5" s="25" t="s">
        <v>196</v>
      </c>
      <c r="K5" s="25" t="s">
        <v>197</v>
      </c>
      <c r="L5" s="25" t="s">
        <v>198</v>
      </c>
    </row>
    <row r="6" spans="1:12" x14ac:dyDescent="0.4">
      <c r="A6" s="30" t="s">
        <v>46</v>
      </c>
      <c r="B6" s="31">
        <v>0.03</v>
      </c>
      <c r="C6" s="31">
        <v>0.01</v>
      </c>
      <c r="D6" s="31">
        <v>-0.01</v>
      </c>
      <c r="E6" s="31">
        <v>0.17299999999999999</v>
      </c>
      <c r="F6" s="31">
        <v>0.13300000000000001</v>
      </c>
      <c r="G6" s="31">
        <v>8.8000000000000009E-2</v>
      </c>
      <c r="H6" s="31">
        <v>0.02</v>
      </c>
      <c r="I6" s="31">
        <v>1.4999999999999999E-2</v>
      </c>
      <c r="J6" s="31">
        <v>7.4999999999999997E-3</v>
      </c>
      <c r="K6" s="32">
        <v>1.84</v>
      </c>
      <c r="L6" s="32">
        <v>4</v>
      </c>
    </row>
    <row r="7" spans="1:12" x14ac:dyDescent="0.4">
      <c r="A7" s="30" t="s">
        <v>47</v>
      </c>
      <c r="B7" s="31">
        <v>0.04</v>
      </c>
      <c r="C7" s="31">
        <v>0.02</v>
      </c>
      <c r="D7" s="31">
        <v>0</v>
      </c>
      <c r="E7" s="31">
        <v>0.23</v>
      </c>
      <c r="F7" s="31">
        <v>0.19</v>
      </c>
      <c r="G7" s="31">
        <v>0.14499999999999999</v>
      </c>
      <c r="H7" s="31">
        <v>2.5000000000000001E-2</v>
      </c>
      <c r="I7" s="31">
        <v>0.02</v>
      </c>
      <c r="J7" s="31">
        <v>1.2500000000000001E-2</v>
      </c>
      <c r="K7" s="32">
        <v>1.56</v>
      </c>
      <c r="L7" s="32">
        <v>4</v>
      </c>
    </row>
    <row r="8" spans="1:12" x14ac:dyDescent="0.4">
      <c r="A8" s="30" t="s">
        <v>48</v>
      </c>
      <c r="B8" s="31">
        <v>0.04</v>
      </c>
      <c r="C8" s="31">
        <v>0.02</v>
      </c>
      <c r="D8" s="31">
        <v>0</v>
      </c>
      <c r="E8" s="31">
        <v>0.23599999999999999</v>
      </c>
      <c r="F8" s="31">
        <v>0.19600000000000001</v>
      </c>
      <c r="G8" s="31">
        <v>0.151</v>
      </c>
      <c r="H8" s="31">
        <v>2.5000000000000001E-2</v>
      </c>
      <c r="I8" s="31">
        <v>0.02</v>
      </c>
      <c r="J8" s="31">
        <v>1.2500000000000001E-2</v>
      </c>
      <c r="K8" s="32">
        <v>1.84</v>
      </c>
      <c r="L8" s="32">
        <v>4</v>
      </c>
    </row>
    <row r="9" spans="1:12" x14ac:dyDescent="0.4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x14ac:dyDescent="0.4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x14ac:dyDescent="0.4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pans="1:12" x14ac:dyDescent="0.4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x14ac:dyDescent="0.4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5" spans="1:12" x14ac:dyDescent="0.4">
      <c r="A15" s="3" t="s">
        <v>199</v>
      </c>
    </row>
    <row r="16" spans="1:12" x14ac:dyDescent="0.4">
      <c r="A16" s="22" t="s">
        <v>200</v>
      </c>
      <c r="B16" s="22" t="s">
        <v>201</v>
      </c>
      <c r="C16" s="22" t="s">
        <v>202</v>
      </c>
      <c r="D16" s="22" t="s">
        <v>203</v>
      </c>
      <c r="E16" s="22" t="s">
        <v>204</v>
      </c>
    </row>
    <row r="17" spans="1:5" x14ac:dyDescent="0.4">
      <c r="A17" s="4" t="s">
        <v>205</v>
      </c>
      <c r="B17" s="6">
        <f>'DCF Bull'!K122</f>
        <v>91.419326218982235</v>
      </c>
      <c r="C17" s="33">
        <v>0.2</v>
      </c>
      <c r="D17" s="27" t="s">
        <v>206</v>
      </c>
      <c r="E17" s="6">
        <f>MAX(B17,0)</f>
        <v>91.419326218982235</v>
      </c>
    </row>
    <row r="18" spans="1:5" x14ac:dyDescent="0.4">
      <c r="A18" s="4" t="s">
        <v>207</v>
      </c>
      <c r="B18" s="6">
        <f>'DCF Base'!K122</f>
        <v>48.167177341362674</v>
      </c>
      <c r="C18" s="33">
        <v>0.6</v>
      </c>
      <c r="D18" s="27" t="s">
        <v>208</v>
      </c>
      <c r="E18" s="6">
        <f>MAX(B18,0)</f>
        <v>48.167177341362674</v>
      </c>
    </row>
    <row r="19" spans="1:5" x14ac:dyDescent="0.4">
      <c r="A19" s="4" t="s">
        <v>209</v>
      </c>
      <c r="B19" s="6">
        <f>'DCF Bear'!K122</f>
        <v>12.144658202991721</v>
      </c>
      <c r="C19" s="33">
        <v>0.2</v>
      </c>
      <c r="D19" s="27" t="s">
        <v>210</v>
      </c>
      <c r="E19" s="6">
        <f>MAX(B19,0)</f>
        <v>12.144658202991721</v>
      </c>
    </row>
    <row r="20" spans="1:5" x14ac:dyDescent="0.4">
      <c r="A20" s="2" t="s">
        <v>211</v>
      </c>
    </row>
    <row r="21" spans="1:5" ht="15.9" customHeight="1" x14ac:dyDescent="0.45">
      <c r="A21" s="19" t="s">
        <v>212</v>
      </c>
      <c r="B21" s="21">
        <f>E17*C17+E18*C18+E19*C19</f>
        <v>49.613103289212397</v>
      </c>
    </row>
    <row r="22" spans="1:5" x14ac:dyDescent="0.4">
      <c r="A22" s="2" t="s">
        <v>213</v>
      </c>
      <c r="B22" s="34" t="s">
        <v>214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6"/>
  <sheetViews>
    <sheetView workbookViewId="0"/>
  </sheetViews>
  <sheetFormatPr baseColWidth="10" defaultColWidth="9.23046875" defaultRowHeight="14.6" x14ac:dyDescent="0.4"/>
  <cols>
    <col min="1" max="1" width="36" customWidth="1"/>
    <col min="2" max="2" width="18" customWidth="1"/>
  </cols>
  <sheetData>
    <row r="1" spans="1:2" ht="15.9" customHeight="1" x14ac:dyDescent="0.45">
      <c r="A1" s="28" t="s">
        <v>215</v>
      </c>
    </row>
    <row r="2" spans="1:2" x14ac:dyDescent="0.4">
      <c r="A2" s="2" t="s">
        <v>216</v>
      </c>
    </row>
    <row r="4" spans="1:2" x14ac:dyDescent="0.4">
      <c r="A4" s="4" t="s">
        <v>217</v>
      </c>
      <c r="B4" s="29" t="s">
        <v>218</v>
      </c>
    </row>
    <row r="5" spans="1:2" x14ac:dyDescent="0.4">
      <c r="A5" s="4" t="s">
        <v>219</v>
      </c>
      <c r="B5" s="29" t="s">
        <v>220</v>
      </c>
    </row>
    <row r="6" spans="1:2" x14ac:dyDescent="0.4">
      <c r="A6" s="4" t="s">
        <v>221</v>
      </c>
      <c r="B6" s="29" t="s">
        <v>222</v>
      </c>
    </row>
    <row r="7" spans="1:2" x14ac:dyDescent="0.4">
      <c r="A7" s="4" t="s">
        <v>223</v>
      </c>
      <c r="B7" s="29" t="s">
        <v>224</v>
      </c>
    </row>
    <row r="8" spans="1:2" x14ac:dyDescent="0.4">
      <c r="A8" s="4" t="s">
        <v>225</v>
      </c>
      <c r="B8" s="29" t="s">
        <v>226</v>
      </c>
    </row>
    <row r="9" spans="1:2" x14ac:dyDescent="0.4">
      <c r="A9" s="4" t="s">
        <v>227</v>
      </c>
      <c r="B9" s="29" t="s">
        <v>228</v>
      </c>
    </row>
    <row r="10" spans="1:2" x14ac:dyDescent="0.4">
      <c r="A10" s="4" t="s">
        <v>229</v>
      </c>
      <c r="B10" s="29" t="s">
        <v>208</v>
      </c>
    </row>
    <row r="11" spans="1:2" x14ac:dyDescent="0.4">
      <c r="A11" s="4" t="s">
        <v>230</v>
      </c>
      <c r="B11" s="29" t="s">
        <v>231</v>
      </c>
    </row>
    <row r="12" spans="1:2" x14ac:dyDescent="0.4">
      <c r="A12" s="4" t="s">
        <v>232</v>
      </c>
      <c r="B12" s="29" t="s">
        <v>233</v>
      </c>
    </row>
    <row r="13" spans="1:2" x14ac:dyDescent="0.4">
      <c r="A13" s="4" t="s">
        <v>234</v>
      </c>
      <c r="B13" s="29" t="s">
        <v>235</v>
      </c>
    </row>
    <row r="14" spans="1:2" x14ac:dyDescent="0.4">
      <c r="A14" s="4" t="s">
        <v>236</v>
      </c>
      <c r="B14" s="29" t="s">
        <v>206</v>
      </c>
    </row>
    <row r="15" spans="1:2" x14ac:dyDescent="0.4">
      <c r="A15" s="4" t="s">
        <v>237</v>
      </c>
      <c r="B15" s="29" t="s">
        <v>208</v>
      </c>
    </row>
    <row r="16" spans="1:2" x14ac:dyDescent="0.4">
      <c r="A16" s="4" t="s">
        <v>238</v>
      </c>
      <c r="B16" s="29" t="s">
        <v>210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23</vt:i4>
      </vt:variant>
    </vt:vector>
  </HeadingPairs>
  <TitlesOfParts>
    <vt:vector size="30" baseType="lpstr">
      <vt:lpstr>Inputs</vt:lpstr>
      <vt:lpstr>DCF Base</vt:lpstr>
      <vt:lpstr>DCF Bull</vt:lpstr>
      <vt:lpstr>DCF Bear</vt:lpstr>
      <vt:lpstr>Adjustments</vt:lpstr>
      <vt:lpstr>Szenarien</vt:lpstr>
      <vt:lpstr>Outputs</vt:lpstr>
      <vt:lpstr>OUT_EQUITY</vt:lpstr>
      <vt:lpstr>OUT_GROUP_EV</vt:lpstr>
      <vt:lpstr>OUT_MINORITY</vt:lpstr>
      <vt:lpstr>OUT_NET_DEBT</vt:lpstr>
      <vt:lpstr>OUT_PRICE_TARGET</vt:lpstr>
      <vt:lpstr>OUT_SEG_EV_1</vt:lpstr>
      <vt:lpstr>OUT_SEG_EV_2</vt:lpstr>
      <vt:lpstr>OUT_SEG_EV_3</vt:lpstr>
      <vt:lpstr>OUT_SEG_EV_4</vt:lpstr>
      <vt:lpstr>OUT_SEG_EV_5</vt:lpstr>
      <vt:lpstr>OUT_SEG_EV_6</vt:lpstr>
      <vt:lpstr>OUT_SEG_EV_7</vt:lpstr>
      <vt:lpstr>OUT_SEG_EV_8</vt:lpstr>
      <vt:lpstr>OUT_SEG_WACC_1</vt:lpstr>
      <vt:lpstr>OUT_SEG_WACC_2</vt:lpstr>
      <vt:lpstr>OUT_SEG_WACC_3</vt:lpstr>
      <vt:lpstr>OUT_SEG_WACC_4</vt:lpstr>
      <vt:lpstr>OUT_SEG_WACC_5</vt:lpstr>
      <vt:lpstr>OUT_SEG_WACC_6</vt:lpstr>
      <vt:lpstr>OUT_SEG_WACC_7</vt:lpstr>
      <vt:lpstr>OUT_SEG_WACC_8</vt:lpstr>
      <vt:lpstr>OUT_SHARES</vt:lpstr>
      <vt:lpstr>OUT_WACC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Jannick Wrage</cp:lastModifiedBy>
  <dcterms:created xsi:type="dcterms:W3CDTF">2026-06-18T18:59:41Z</dcterms:created>
  <dcterms:modified xsi:type="dcterms:W3CDTF">2026-06-19T18:00:13Z</dcterms:modified>
</cp:coreProperties>
</file>