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BMW_Group\2026-08-19_run2\"/>
    </mc:Choice>
  </mc:AlternateContent>
  <xr:revisionPtr revIDLastSave="0" documentId="13_ncr:1_{956BCBFE-A69C-4376-B507-C5E08A70DB0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B37" i="7"/>
  <c r="B48" i="7" s="1"/>
  <c r="B26" i="7"/>
  <c r="B27" i="7" s="1"/>
  <c r="B38" i="7" s="1"/>
  <c r="B49" i="7" s="1"/>
  <c r="C25" i="7"/>
  <c r="B25" i="7"/>
  <c r="B36" i="7" s="1"/>
  <c r="B47" i="7" s="1"/>
  <c r="E24" i="7"/>
  <c r="D24" i="7"/>
  <c r="D35" i="7" s="1"/>
  <c r="C24" i="7"/>
  <c r="B24" i="7"/>
  <c r="B35" i="7" s="1"/>
  <c r="B46" i="7" s="1"/>
  <c r="E23" i="7"/>
  <c r="D23" i="7"/>
  <c r="D34" i="7" s="1"/>
  <c r="D45" i="7" s="1"/>
  <c r="C23" i="7"/>
  <c r="B23" i="7"/>
  <c r="B34" i="7" s="1"/>
  <c r="B45" i="7" s="1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D25" i="7" s="1"/>
  <c r="D36" i="7" s="1"/>
  <c r="D47" i="7" s="1"/>
  <c r="E10" i="7"/>
  <c r="D10" i="7"/>
  <c r="C10" i="7"/>
  <c r="C26" i="7" s="1"/>
  <c r="B6" i="7"/>
  <c r="D9" i="5"/>
  <c r="D8" i="5"/>
  <c r="D7" i="5"/>
  <c r="D6" i="5"/>
  <c r="D5" i="5"/>
  <c r="D11" i="5" s="1"/>
  <c r="D12" i="5" s="1"/>
  <c r="K121" i="4"/>
  <c r="K120" i="4"/>
  <c r="J106" i="4"/>
  <c r="I106" i="4"/>
  <c r="H106" i="4"/>
  <c r="G106" i="4"/>
  <c r="F106" i="4"/>
  <c r="E106" i="4"/>
  <c r="I87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I63" i="4"/>
  <c r="I64" i="4" s="1"/>
  <c r="I76" i="4" s="1"/>
  <c r="I82" i="4" s="1"/>
  <c r="G63" i="4"/>
  <c r="F63" i="4"/>
  <c r="E63" i="4"/>
  <c r="E75" i="4" s="1"/>
  <c r="E81" i="4" s="1"/>
  <c r="I49" i="4"/>
  <c r="H49" i="4"/>
  <c r="G49" i="4"/>
  <c r="F49" i="4"/>
  <c r="E49" i="4"/>
  <c r="D49" i="4"/>
  <c r="J48" i="4"/>
  <c r="F48" i="4"/>
  <c r="C47" i="4"/>
  <c r="I37" i="4"/>
  <c r="I43" i="4" s="1"/>
  <c r="E37" i="4"/>
  <c r="E43" i="4" s="1"/>
  <c r="D37" i="4"/>
  <c r="D43" i="4" s="1"/>
  <c r="C37" i="4"/>
  <c r="C43" i="4" s="1"/>
  <c r="J36" i="4"/>
  <c r="J42" i="4" s="1"/>
  <c r="G36" i="4"/>
  <c r="G42" i="4" s="1"/>
  <c r="G54" i="4" s="1"/>
  <c r="C35" i="4"/>
  <c r="C41" i="4" s="1"/>
  <c r="I34" i="4"/>
  <c r="I40" i="4" s="1"/>
  <c r="H34" i="4"/>
  <c r="H40" i="4" s="1"/>
  <c r="G34" i="4"/>
  <c r="G40" i="4" s="1"/>
  <c r="J31" i="4"/>
  <c r="I31" i="4"/>
  <c r="H31" i="4"/>
  <c r="G31" i="4"/>
  <c r="G37" i="4" s="1"/>
  <c r="G43" i="4" s="1"/>
  <c r="F31" i="4"/>
  <c r="F37" i="4" s="1"/>
  <c r="F43" i="4" s="1"/>
  <c r="E31" i="4"/>
  <c r="D31" i="4"/>
  <c r="C31" i="4"/>
  <c r="J30" i="4"/>
  <c r="I30" i="4"/>
  <c r="I36" i="4" s="1"/>
  <c r="I42" i="4" s="1"/>
  <c r="I54" i="4" s="1"/>
  <c r="H30" i="4"/>
  <c r="H36" i="4" s="1"/>
  <c r="H42" i="4" s="1"/>
  <c r="H54" i="4" s="1"/>
  <c r="G30" i="4"/>
  <c r="F30" i="4"/>
  <c r="F36" i="4" s="1"/>
  <c r="F42" i="4" s="1"/>
  <c r="F54" i="4" s="1"/>
  <c r="E30" i="4"/>
  <c r="D30" i="4"/>
  <c r="C30" i="4"/>
  <c r="J29" i="4"/>
  <c r="I29" i="4"/>
  <c r="H29" i="4"/>
  <c r="G29" i="4"/>
  <c r="F29" i="4"/>
  <c r="E29" i="4"/>
  <c r="D29" i="4"/>
  <c r="C29" i="4"/>
  <c r="J28" i="4"/>
  <c r="I28" i="4"/>
  <c r="H28" i="4"/>
  <c r="G28" i="4"/>
  <c r="F28" i="4"/>
  <c r="E28" i="4"/>
  <c r="D28" i="4"/>
  <c r="C28" i="4"/>
  <c r="C34" i="4" s="1"/>
  <c r="C40" i="4" s="1"/>
  <c r="C52" i="4" s="1"/>
  <c r="J27" i="4"/>
  <c r="J33" i="4" s="1"/>
  <c r="J39" i="4" s="1"/>
  <c r="J51" i="4" s="1"/>
  <c r="I27" i="4"/>
  <c r="H27" i="4"/>
  <c r="G27" i="4"/>
  <c r="F27" i="4"/>
  <c r="E27" i="4"/>
  <c r="D27" i="4"/>
  <c r="C27" i="4"/>
  <c r="J25" i="4"/>
  <c r="I25" i="4"/>
  <c r="H25" i="4"/>
  <c r="G25" i="4"/>
  <c r="F25" i="4"/>
  <c r="E25" i="4"/>
  <c r="D25" i="4"/>
  <c r="D63" i="4" s="1"/>
  <c r="D75" i="4" s="1"/>
  <c r="D81" i="4" s="1"/>
  <c r="C25" i="4"/>
  <c r="J24" i="4"/>
  <c r="I24" i="4"/>
  <c r="I48" i="4" s="1"/>
  <c r="H24" i="4"/>
  <c r="H48" i="4" s="1"/>
  <c r="G24" i="4"/>
  <c r="G48" i="4" s="1"/>
  <c r="F24" i="4"/>
  <c r="E24" i="4"/>
  <c r="E48" i="4" s="1"/>
  <c r="D24" i="4"/>
  <c r="D48" i="4" s="1"/>
  <c r="C24" i="4"/>
  <c r="J23" i="4"/>
  <c r="J47" i="4" s="1"/>
  <c r="I23" i="4"/>
  <c r="H23" i="4"/>
  <c r="G23" i="4"/>
  <c r="F23" i="4"/>
  <c r="E23" i="4"/>
  <c r="D23" i="4"/>
  <c r="C23" i="4"/>
  <c r="J22" i="4"/>
  <c r="I22" i="4"/>
  <c r="I46" i="4" s="1"/>
  <c r="H22" i="4"/>
  <c r="H46" i="4" s="1"/>
  <c r="G22" i="4"/>
  <c r="G46" i="4" s="1"/>
  <c r="F22" i="4"/>
  <c r="F34" i="4" s="1"/>
  <c r="F40" i="4" s="1"/>
  <c r="E22" i="4"/>
  <c r="E46" i="4" s="1"/>
  <c r="D22" i="4"/>
  <c r="D34" i="4" s="1"/>
  <c r="D40" i="4" s="1"/>
  <c r="C22" i="4"/>
  <c r="C46" i="4" s="1"/>
  <c r="J21" i="4"/>
  <c r="J45" i="4" s="1"/>
  <c r="I21" i="4"/>
  <c r="I45" i="4" s="1"/>
  <c r="H21" i="4"/>
  <c r="H33" i="4" s="1"/>
  <c r="H39" i="4" s="1"/>
  <c r="G21" i="4"/>
  <c r="F21" i="4"/>
  <c r="E21" i="4"/>
  <c r="D21" i="4"/>
  <c r="C21" i="4"/>
  <c r="J16" i="4"/>
  <c r="I16" i="4"/>
  <c r="K121" i="3"/>
  <c r="K120" i="3"/>
  <c r="J106" i="3"/>
  <c r="I106" i="3"/>
  <c r="H106" i="3"/>
  <c r="G106" i="3"/>
  <c r="F106" i="3"/>
  <c r="E106" i="3"/>
  <c r="E75" i="3"/>
  <c r="E81" i="3" s="1"/>
  <c r="D75" i="3"/>
  <c r="D81" i="3" s="1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G63" i="3"/>
  <c r="G64" i="3" s="1"/>
  <c r="E63" i="3"/>
  <c r="E64" i="3" s="1"/>
  <c r="E76" i="3" s="1"/>
  <c r="E82" i="3" s="1"/>
  <c r="D63" i="3"/>
  <c r="D64" i="3" s="1"/>
  <c r="D76" i="3" s="1"/>
  <c r="D82" i="3" s="1"/>
  <c r="C63" i="3"/>
  <c r="C87" i="3" s="1"/>
  <c r="G49" i="3"/>
  <c r="E49" i="3"/>
  <c r="H48" i="3"/>
  <c r="F48" i="3"/>
  <c r="I46" i="3"/>
  <c r="J45" i="3"/>
  <c r="E37" i="3"/>
  <c r="E43" i="3" s="1"/>
  <c r="D37" i="3"/>
  <c r="D43" i="3" s="1"/>
  <c r="D55" i="3" s="1"/>
  <c r="C37" i="3"/>
  <c r="C43" i="3" s="1"/>
  <c r="C55" i="3" s="1"/>
  <c r="J36" i="3"/>
  <c r="J42" i="3" s="1"/>
  <c r="J54" i="3" s="1"/>
  <c r="I36" i="3"/>
  <c r="I42" i="3" s="1"/>
  <c r="I54" i="3" s="1"/>
  <c r="H36" i="3"/>
  <c r="H42" i="3" s="1"/>
  <c r="G36" i="3"/>
  <c r="G42" i="3" s="1"/>
  <c r="G54" i="3" s="1"/>
  <c r="D34" i="3"/>
  <c r="D40" i="3" s="1"/>
  <c r="D52" i="3" s="1"/>
  <c r="C34" i="3"/>
  <c r="C40" i="3" s="1"/>
  <c r="C52" i="3" s="1"/>
  <c r="J31" i="3"/>
  <c r="I31" i="3"/>
  <c r="H31" i="3"/>
  <c r="G31" i="3"/>
  <c r="G37" i="3" s="1"/>
  <c r="G43" i="3" s="1"/>
  <c r="G55" i="3" s="1"/>
  <c r="F31" i="3"/>
  <c r="E31" i="3"/>
  <c r="D31" i="3"/>
  <c r="C31" i="3"/>
  <c r="J30" i="3"/>
  <c r="I30" i="3"/>
  <c r="H30" i="3"/>
  <c r="G30" i="3"/>
  <c r="F30" i="3"/>
  <c r="F36" i="3" s="1"/>
  <c r="F42" i="3" s="1"/>
  <c r="E30" i="3"/>
  <c r="E36" i="3" s="1"/>
  <c r="E42" i="3" s="1"/>
  <c r="D30" i="3"/>
  <c r="D36" i="3" s="1"/>
  <c r="D42" i="3" s="1"/>
  <c r="C30" i="3"/>
  <c r="C36" i="3" s="1"/>
  <c r="C42" i="3" s="1"/>
  <c r="J29" i="3"/>
  <c r="I29" i="3"/>
  <c r="H29" i="3"/>
  <c r="G29" i="3"/>
  <c r="F29" i="3"/>
  <c r="E29" i="3"/>
  <c r="D29" i="3"/>
  <c r="C29" i="3"/>
  <c r="J28" i="3"/>
  <c r="I28" i="3"/>
  <c r="I34" i="3" s="1"/>
  <c r="I40" i="3" s="1"/>
  <c r="I52" i="3" s="1"/>
  <c r="H28" i="3"/>
  <c r="G28" i="3"/>
  <c r="F28" i="3"/>
  <c r="E28" i="3"/>
  <c r="D28" i="3"/>
  <c r="C28" i="3"/>
  <c r="J27" i="3"/>
  <c r="I27" i="3"/>
  <c r="H27" i="3"/>
  <c r="G27" i="3"/>
  <c r="F27" i="3"/>
  <c r="F33" i="3" s="1"/>
  <c r="F39" i="3" s="1"/>
  <c r="F51" i="3" s="1"/>
  <c r="E27" i="3"/>
  <c r="E33" i="3" s="1"/>
  <c r="E39" i="3" s="1"/>
  <c r="D27" i="3"/>
  <c r="D33" i="3" s="1"/>
  <c r="D39" i="3" s="1"/>
  <c r="D51" i="3" s="1"/>
  <c r="C27" i="3"/>
  <c r="J25" i="3"/>
  <c r="I25" i="3"/>
  <c r="H25" i="3"/>
  <c r="G25" i="3"/>
  <c r="F25" i="3"/>
  <c r="E25" i="3"/>
  <c r="D25" i="3"/>
  <c r="D49" i="3" s="1"/>
  <c r="C25" i="3"/>
  <c r="C49" i="3" s="1"/>
  <c r="J24" i="3"/>
  <c r="J48" i="3" s="1"/>
  <c r="I24" i="3"/>
  <c r="I48" i="3" s="1"/>
  <c r="H24" i="3"/>
  <c r="G24" i="3"/>
  <c r="G48" i="3" s="1"/>
  <c r="F24" i="3"/>
  <c r="E24" i="3"/>
  <c r="E48" i="3" s="1"/>
  <c r="D24" i="3"/>
  <c r="D48" i="3" s="1"/>
  <c r="C24" i="3"/>
  <c r="C48" i="3" s="1"/>
  <c r="J23" i="3"/>
  <c r="J47" i="3" s="1"/>
  <c r="I23" i="3"/>
  <c r="I47" i="3" s="1"/>
  <c r="H23" i="3"/>
  <c r="H35" i="3" s="1"/>
  <c r="H41" i="3" s="1"/>
  <c r="G23" i="3"/>
  <c r="G35" i="3" s="1"/>
  <c r="G41" i="3" s="1"/>
  <c r="F23" i="3"/>
  <c r="F35" i="3" s="1"/>
  <c r="F41" i="3" s="1"/>
  <c r="E23" i="3"/>
  <c r="D23" i="3"/>
  <c r="C23" i="3"/>
  <c r="J22" i="3"/>
  <c r="I22" i="3"/>
  <c r="H22" i="3"/>
  <c r="G22" i="3"/>
  <c r="F22" i="3"/>
  <c r="E22" i="3"/>
  <c r="E46" i="3" s="1"/>
  <c r="D22" i="3"/>
  <c r="D46" i="3" s="1"/>
  <c r="C22" i="3"/>
  <c r="C46" i="3" s="1"/>
  <c r="J21" i="3"/>
  <c r="J33" i="3" s="1"/>
  <c r="J39" i="3" s="1"/>
  <c r="J51" i="3" s="1"/>
  <c r="I21" i="3"/>
  <c r="I45" i="3" s="1"/>
  <c r="H21" i="3"/>
  <c r="H33" i="3" s="1"/>
  <c r="H39" i="3" s="1"/>
  <c r="G21" i="3"/>
  <c r="G33" i="3" s="1"/>
  <c r="G39" i="3" s="1"/>
  <c r="F21" i="3"/>
  <c r="F45" i="3" s="1"/>
  <c r="E21" i="3"/>
  <c r="E45" i="3" s="1"/>
  <c r="D21" i="3"/>
  <c r="D45" i="3" s="1"/>
  <c r="C21" i="3"/>
  <c r="I16" i="3"/>
  <c r="H16" i="3"/>
  <c r="G16" i="3"/>
  <c r="K121" i="2"/>
  <c r="K120" i="2"/>
  <c r="J106" i="2"/>
  <c r="I106" i="2"/>
  <c r="H106" i="2"/>
  <c r="G106" i="2"/>
  <c r="F106" i="2"/>
  <c r="E106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J63" i="2"/>
  <c r="I63" i="2"/>
  <c r="I64" i="2" s="1"/>
  <c r="H63" i="2"/>
  <c r="H64" i="2" s="1"/>
  <c r="G63" i="2"/>
  <c r="G75" i="2" s="1"/>
  <c r="G81" i="2" s="1"/>
  <c r="E63" i="2"/>
  <c r="E75" i="2" s="1"/>
  <c r="E81" i="2" s="1"/>
  <c r="J49" i="2"/>
  <c r="H47" i="2"/>
  <c r="G36" i="2"/>
  <c r="G42" i="2" s="1"/>
  <c r="G54" i="2" s="1"/>
  <c r="C33" i="2"/>
  <c r="C39" i="2" s="1"/>
  <c r="C51" i="2" s="1"/>
  <c r="J31" i="2"/>
  <c r="I31" i="2"/>
  <c r="H31" i="2"/>
  <c r="G31" i="2"/>
  <c r="F31" i="2"/>
  <c r="E31" i="2"/>
  <c r="E37" i="2" s="1"/>
  <c r="E43" i="2" s="1"/>
  <c r="D31" i="2"/>
  <c r="C31" i="2"/>
  <c r="J30" i="2"/>
  <c r="I30" i="2"/>
  <c r="H30" i="2"/>
  <c r="G30" i="2"/>
  <c r="F30" i="2"/>
  <c r="E30" i="2"/>
  <c r="D30" i="2"/>
  <c r="C30" i="2"/>
  <c r="J29" i="2"/>
  <c r="I29" i="2"/>
  <c r="H29" i="2"/>
  <c r="G29" i="2"/>
  <c r="F29" i="2"/>
  <c r="E29" i="2"/>
  <c r="D29" i="2"/>
  <c r="C29" i="2"/>
  <c r="J28" i="2"/>
  <c r="I28" i="2"/>
  <c r="H28" i="2"/>
  <c r="G28" i="2"/>
  <c r="G34" i="2" s="1"/>
  <c r="G40" i="2" s="1"/>
  <c r="F28" i="2"/>
  <c r="E28" i="2"/>
  <c r="D28" i="2"/>
  <c r="C28" i="2"/>
  <c r="J27" i="2"/>
  <c r="I27" i="2"/>
  <c r="H27" i="2"/>
  <c r="G27" i="2"/>
  <c r="F27" i="2"/>
  <c r="E27" i="2"/>
  <c r="E33" i="2" s="1"/>
  <c r="E39" i="2" s="1"/>
  <c r="E51" i="2" s="1"/>
  <c r="D27" i="2"/>
  <c r="C27" i="2"/>
  <c r="J25" i="2"/>
  <c r="I25" i="2"/>
  <c r="H25" i="2"/>
  <c r="H49" i="2" s="1"/>
  <c r="G25" i="2"/>
  <c r="G49" i="2" s="1"/>
  <c r="F25" i="2"/>
  <c r="F63" i="2" s="1"/>
  <c r="E25" i="2"/>
  <c r="E49" i="2" s="1"/>
  <c r="D25" i="2"/>
  <c r="D49" i="2" s="1"/>
  <c r="C25" i="2"/>
  <c r="C63" i="2" s="1"/>
  <c r="C75" i="2" s="1"/>
  <c r="C81" i="2" s="1"/>
  <c r="J24" i="2"/>
  <c r="I24" i="2"/>
  <c r="H24" i="2"/>
  <c r="G24" i="2"/>
  <c r="G48" i="2" s="1"/>
  <c r="F24" i="2"/>
  <c r="F48" i="2" s="1"/>
  <c r="E24" i="2"/>
  <c r="E48" i="2" s="1"/>
  <c r="D24" i="2"/>
  <c r="D48" i="2" s="1"/>
  <c r="C24" i="2"/>
  <c r="C48" i="2" s="1"/>
  <c r="J23" i="2"/>
  <c r="J47" i="2" s="1"/>
  <c r="I23" i="2"/>
  <c r="I47" i="2" s="1"/>
  <c r="H23" i="2"/>
  <c r="H35" i="2" s="1"/>
  <c r="H41" i="2" s="1"/>
  <c r="H53" i="2" s="1"/>
  <c r="G23" i="2"/>
  <c r="F23" i="2"/>
  <c r="F47" i="2" s="1"/>
  <c r="E23" i="2"/>
  <c r="E47" i="2" s="1"/>
  <c r="D23" i="2"/>
  <c r="D47" i="2" s="1"/>
  <c r="C23" i="2"/>
  <c r="C47" i="2" s="1"/>
  <c r="J22" i="2"/>
  <c r="J46" i="2" s="1"/>
  <c r="I22" i="2"/>
  <c r="I46" i="2" s="1"/>
  <c r="H22" i="2"/>
  <c r="H46" i="2" s="1"/>
  <c r="G22" i="2"/>
  <c r="G46" i="2" s="1"/>
  <c r="F22" i="2"/>
  <c r="E22" i="2"/>
  <c r="D22" i="2"/>
  <c r="D46" i="2" s="1"/>
  <c r="C22" i="2"/>
  <c r="J21" i="2"/>
  <c r="J45" i="2" s="1"/>
  <c r="I21" i="2"/>
  <c r="I45" i="2" s="1"/>
  <c r="H21" i="2"/>
  <c r="H45" i="2" s="1"/>
  <c r="G21" i="2"/>
  <c r="G33" i="2" s="1"/>
  <c r="G39" i="2" s="1"/>
  <c r="F21" i="2"/>
  <c r="F45" i="2" s="1"/>
  <c r="E21" i="2"/>
  <c r="E45" i="2" s="1"/>
  <c r="D21" i="2"/>
  <c r="C21" i="2"/>
  <c r="C45" i="2" s="1"/>
  <c r="B37" i="1"/>
  <c r="B38" i="1" s="1"/>
  <c r="B30" i="1"/>
  <c r="B29" i="1"/>
  <c r="F16" i="3" s="1"/>
  <c r="B28" i="1"/>
  <c r="B23" i="1"/>
  <c r="B26" i="1" s="1"/>
  <c r="B31" i="1" s="1"/>
  <c r="B14" i="1"/>
  <c r="G51" i="2" l="1"/>
  <c r="G57" i="2" s="1"/>
  <c r="E93" i="2"/>
  <c r="J104" i="2"/>
  <c r="J104" i="3"/>
  <c r="I104" i="2"/>
  <c r="J36" i="2"/>
  <c r="J42" i="2" s="1"/>
  <c r="E34" i="2"/>
  <c r="E40" i="2" s="1"/>
  <c r="H87" i="2"/>
  <c r="D26" i="7"/>
  <c r="C54" i="3"/>
  <c r="E55" i="2"/>
  <c r="E55" i="3"/>
  <c r="G87" i="2"/>
  <c r="G93" i="2" s="1"/>
  <c r="C27" i="7"/>
  <c r="C38" i="7" s="1"/>
  <c r="C49" i="7" s="1"/>
  <c r="F75" i="2"/>
  <c r="F81" i="2" s="1"/>
  <c r="E26" i="7"/>
  <c r="E27" i="7" s="1"/>
  <c r="I52" i="4"/>
  <c r="I36" i="2"/>
  <c r="I42" i="2" s="1"/>
  <c r="D46" i="7"/>
  <c r="E87" i="2"/>
  <c r="H45" i="3"/>
  <c r="H51" i="3" s="1"/>
  <c r="H57" i="3" s="1"/>
  <c r="E87" i="3"/>
  <c r="E93" i="3" s="1"/>
  <c r="I48" i="2"/>
  <c r="C49" i="2"/>
  <c r="H45" i="4"/>
  <c r="E36" i="2"/>
  <c r="E42" i="2" s="1"/>
  <c r="E54" i="2" s="1"/>
  <c r="G64" i="2"/>
  <c r="G76" i="2" s="1"/>
  <c r="G82" i="2" s="1"/>
  <c r="D87" i="3"/>
  <c r="D93" i="3" s="1"/>
  <c r="J37" i="2"/>
  <c r="J43" i="2" s="1"/>
  <c r="J55" i="2" s="1"/>
  <c r="J61" i="2" s="1"/>
  <c r="J34" i="2"/>
  <c r="J40" i="2" s="1"/>
  <c r="C37" i="7"/>
  <c r="C48" i="7" s="1"/>
  <c r="F53" i="2"/>
  <c r="D35" i="2"/>
  <c r="D41" i="2" s="1"/>
  <c r="H47" i="3"/>
  <c r="H53" i="3" s="1"/>
  <c r="H59" i="3" s="1"/>
  <c r="D46" i="4"/>
  <c r="D52" i="4" s="1"/>
  <c r="D58" i="4" s="1"/>
  <c r="E33" i="7"/>
  <c r="E44" i="7" s="1"/>
  <c r="E51" i="3"/>
  <c r="E64" i="2"/>
  <c r="E76" i="2" s="1"/>
  <c r="E82" i="2" s="1"/>
  <c r="G52" i="4"/>
  <c r="J33" i="2"/>
  <c r="J39" i="2" s="1"/>
  <c r="J51" i="2" s="1"/>
  <c r="J57" i="2" s="1"/>
  <c r="G45" i="3"/>
  <c r="G51" i="3" s="1"/>
  <c r="G57" i="3" s="1"/>
  <c r="C35" i="2"/>
  <c r="C41" i="2" s="1"/>
  <c r="F33" i="2"/>
  <c r="F39" i="2" s="1"/>
  <c r="F51" i="2" s="1"/>
  <c r="F35" i="2"/>
  <c r="F41" i="2" s="1"/>
  <c r="F49" i="2"/>
  <c r="J34" i="4"/>
  <c r="J40" i="4" s="1"/>
  <c r="I33" i="4"/>
  <c r="I39" i="4" s="1"/>
  <c r="I51" i="4" s="1"/>
  <c r="I57" i="4" s="1"/>
  <c r="C22" i="7"/>
  <c r="C33" i="7" s="1"/>
  <c r="C44" i="7" s="1"/>
  <c r="H52" i="4"/>
  <c r="E54" i="3"/>
  <c r="F54" i="3"/>
  <c r="C34" i="2"/>
  <c r="C40" i="2" s="1"/>
  <c r="C34" i="7"/>
  <c r="C45" i="7" s="1"/>
  <c r="G45" i="2"/>
  <c r="I37" i="2"/>
  <c r="I43" i="2" s="1"/>
  <c r="I55" i="2" s="1"/>
  <c r="E35" i="2"/>
  <c r="E41" i="2" s="1"/>
  <c r="E53" i="2" s="1"/>
  <c r="I53" i="2"/>
  <c r="I59" i="2" s="1"/>
  <c r="D22" i="7"/>
  <c r="D33" i="7" s="1"/>
  <c r="D44" i="7" s="1"/>
  <c r="H54" i="3"/>
  <c r="G52" i="2"/>
  <c r="I33" i="2"/>
  <c r="I39" i="2" s="1"/>
  <c r="I51" i="2" s="1"/>
  <c r="F46" i="4"/>
  <c r="F52" i="4" s="1"/>
  <c r="F58" i="4" s="1"/>
  <c r="H33" i="2"/>
  <c r="H39" i="2" s="1"/>
  <c r="H51" i="2" s="1"/>
  <c r="F36" i="2"/>
  <c r="F42" i="2" s="1"/>
  <c r="F54" i="2" s="1"/>
  <c r="I35" i="2"/>
  <c r="I41" i="2" s="1"/>
  <c r="I33" i="3"/>
  <c r="I39" i="3" s="1"/>
  <c r="I51" i="3" s="1"/>
  <c r="I57" i="3" s="1"/>
  <c r="E34" i="4"/>
  <c r="E40" i="4" s="1"/>
  <c r="E52" i="4" s="1"/>
  <c r="E22" i="7"/>
  <c r="D36" i="2"/>
  <c r="D42" i="2" s="1"/>
  <c r="D54" i="2" s="1"/>
  <c r="D54" i="3"/>
  <c r="H36" i="2"/>
  <c r="H42" i="2" s="1"/>
  <c r="C36" i="2"/>
  <c r="C42" i="2" s="1"/>
  <c r="C54" i="2" s="1"/>
  <c r="C60" i="2" s="1"/>
  <c r="I49" i="2"/>
  <c r="E35" i="3"/>
  <c r="E41" i="3" s="1"/>
  <c r="J46" i="4"/>
  <c r="J52" i="4" s="1"/>
  <c r="J58" i="4" s="1"/>
  <c r="I65" i="2"/>
  <c r="I88" i="2"/>
  <c r="I76" i="2"/>
  <c r="I82" i="2" s="1"/>
  <c r="I94" i="2" s="1"/>
  <c r="I100" i="2" s="1"/>
  <c r="G65" i="3"/>
  <c r="G88" i="3"/>
  <c r="G76" i="3"/>
  <c r="G82" i="3" s="1"/>
  <c r="G94" i="3" s="1"/>
  <c r="G100" i="3" s="1"/>
  <c r="I54" i="2"/>
  <c r="G35" i="4"/>
  <c r="G41" i="4" s="1"/>
  <c r="G47" i="4"/>
  <c r="J75" i="2"/>
  <c r="J81" i="2" s="1"/>
  <c r="J64" i="2"/>
  <c r="J87" i="2"/>
  <c r="G47" i="3"/>
  <c r="G53" i="3" s="1"/>
  <c r="G59" i="3" s="1"/>
  <c r="J52" i="2"/>
  <c r="J58" i="2" s="1"/>
  <c r="C53" i="2"/>
  <c r="C59" i="2" s="1"/>
  <c r="C64" i="2"/>
  <c r="G33" i="4"/>
  <c r="G39" i="4" s="1"/>
  <c r="G45" i="4"/>
  <c r="E16" i="4"/>
  <c r="C16" i="3"/>
  <c r="C16" i="4"/>
  <c r="C58" i="4" s="1"/>
  <c r="H16" i="4"/>
  <c r="J16" i="2"/>
  <c r="G16" i="4"/>
  <c r="I16" i="2"/>
  <c r="F16" i="4"/>
  <c r="F107" i="4" s="1"/>
  <c r="H16" i="2"/>
  <c r="E16" i="2"/>
  <c r="D16" i="4"/>
  <c r="G16" i="2"/>
  <c r="G107" i="2" s="1"/>
  <c r="F16" i="2"/>
  <c r="D16" i="2"/>
  <c r="C16" i="2"/>
  <c r="C57" i="2" s="1"/>
  <c r="J16" i="3"/>
  <c r="J107" i="3" s="1"/>
  <c r="E57" i="2"/>
  <c r="D53" i="2"/>
  <c r="F107" i="2"/>
  <c r="F57" i="3"/>
  <c r="E47" i="3"/>
  <c r="J57" i="4"/>
  <c r="D45" i="2"/>
  <c r="D33" i="2"/>
  <c r="D39" i="2" s="1"/>
  <c r="I107" i="2"/>
  <c r="F64" i="4"/>
  <c r="F87" i="4"/>
  <c r="F75" i="4"/>
  <c r="F81" i="4" s="1"/>
  <c r="F93" i="4" s="1"/>
  <c r="F99" i="4" s="1"/>
  <c r="D36" i="4"/>
  <c r="D42" i="4" s="1"/>
  <c r="D54" i="4" s="1"/>
  <c r="G75" i="4"/>
  <c r="G81" i="4" s="1"/>
  <c r="G64" i="4"/>
  <c r="G87" i="4"/>
  <c r="H57" i="2"/>
  <c r="F53" i="3"/>
  <c r="F59" i="3" s="1"/>
  <c r="F60" i="4"/>
  <c r="H35" i="4"/>
  <c r="H41" i="4" s="1"/>
  <c r="H53" i="4" s="1"/>
  <c r="H59" i="4" s="1"/>
  <c r="H47" i="4"/>
  <c r="I35" i="4"/>
  <c r="I41" i="4" s="1"/>
  <c r="I47" i="4"/>
  <c r="D33" i="4"/>
  <c r="D39" i="4" s="1"/>
  <c r="D45" i="4"/>
  <c r="F64" i="2"/>
  <c r="C87" i="2"/>
  <c r="C93" i="2" s="1"/>
  <c r="C99" i="2" s="1"/>
  <c r="C46" i="2"/>
  <c r="H34" i="3"/>
  <c r="H40" i="3" s="1"/>
  <c r="H46" i="3"/>
  <c r="F49" i="3"/>
  <c r="F37" i="3"/>
  <c r="F43" i="3" s="1"/>
  <c r="G75" i="3"/>
  <c r="G81" i="3" s="1"/>
  <c r="G87" i="3"/>
  <c r="J48" i="2"/>
  <c r="J54" i="2" s="1"/>
  <c r="J60" i="2" s="1"/>
  <c r="D60" i="3"/>
  <c r="C33" i="4"/>
  <c r="C39" i="4" s="1"/>
  <c r="C45" i="4"/>
  <c r="E33" i="4"/>
  <c r="E39" i="4" s="1"/>
  <c r="E45" i="4"/>
  <c r="D34" i="2"/>
  <c r="D40" i="2" s="1"/>
  <c r="D52" i="2" s="1"/>
  <c r="C64" i="3"/>
  <c r="C75" i="3"/>
  <c r="C81" i="3" s="1"/>
  <c r="C93" i="3" s="1"/>
  <c r="C53" i="4"/>
  <c r="J35" i="3"/>
  <c r="J41" i="3" s="1"/>
  <c r="J53" i="3" s="1"/>
  <c r="F33" i="4"/>
  <c r="F39" i="4" s="1"/>
  <c r="F45" i="4"/>
  <c r="F47" i="3"/>
  <c r="E65" i="2"/>
  <c r="E88" i="2"/>
  <c r="E94" i="2" s="1"/>
  <c r="H107" i="2"/>
  <c r="H65" i="2"/>
  <c r="H88" i="2"/>
  <c r="J107" i="2"/>
  <c r="G34" i="3"/>
  <c r="G40" i="3" s="1"/>
  <c r="G46" i="3"/>
  <c r="J35" i="2"/>
  <c r="J41" i="2" s="1"/>
  <c r="J53" i="2" s="1"/>
  <c r="J59" i="2" s="1"/>
  <c r="H76" i="2"/>
  <c r="H82" i="2" s="1"/>
  <c r="H94" i="2" s="1"/>
  <c r="F87" i="2"/>
  <c r="J34" i="3"/>
  <c r="J40" i="3" s="1"/>
  <c r="J52" i="3" s="1"/>
  <c r="J46" i="3"/>
  <c r="H37" i="3"/>
  <c r="H43" i="3" s="1"/>
  <c r="H63" i="3"/>
  <c r="H49" i="3"/>
  <c r="D88" i="3"/>
  <c r="D94" i="3" s="1"/>
  <c r="D65" i="3"/>
  <c r="H60" i="3"/>
  <c r="I75" i="2"/>
  <c r="I81" i="2" s="1"/>
  <c r="I87" i="2"/>
  <c r="I58" i="3"/>
  <c r="D16" i="3"/>
  <c r="D57" i="3" s="1"/>
  <c r="C35" i="3"/>
  <c r="C41" i="3" s="1"/>
  <c r="C47" i="3"/>
  <c r="I37" i="3"/>
  <c r="I43" i="3" s="1"/>
  <c r="I63" i="3"/>
  <c r="I49" i="3"/>
  <c r="E65" i="3"/>
  <c r="E88" i="3"/>
  <c r="E94" i="3" s="1"/>
  <c r="E36" i="4"/>
  <c r="E42" i="4" s="1"/>
  <c r="E54" i="4" s="1"/>
  <c r="H48" i="2"/>
  <c r="E16" i="3"/>
  <c r="E57" i="3" s="1"/>
  <c r="D35" i="3"/>
  <c r="D41" i="3" s="1"/>
  <c r="D47" i="3"/>
  <c r="J37" i="3"/>
  <c r="J43" i="3" s="1"/>
  <c r="J63" i="3"/>
  <c r="J49" i="3"/>
  <c r="F63" i="3"/>
  <c r="E46" i="2"/>
  <c r="C33" i="3"/>
  <c r="C39" i="3" s="1"/>
  <c r="I35" i="3"/>
  <c r="I41" i="3" s="1"/>
  <c r="I53" i="3" s="1"/>
  <c r="C45" i="3"/>
  <c r="F34" i="2"/>
  <c r="F40" i="2" s="1"/>
  <c r="D37" i="2"/>
  <c r="D43" i="2" s="1"/>
  <c r="D55" i="2" s="1"/>
  <c r="F46" i="2"/>
  <c r="E34" i="3"/>
  <c r="E40" i="3" s="1"/>
  <c r="E52" i="3" s="1"/>
  <c r="I65" i="4"/>
  <c r="I88" i="4"/>
  <c r="I94" i="4" s="1"/>
  <c r="J54" i="4"/>
  <c r="J60" i="4" s="1"/>
  <c r="I104" i="4"/>
  <c r="I60" i="4" s="1"/>
  <c r="G104" i="3"/>
  <c r="G60" i="3" s="1"/>
  <c r="E104" i="2"/>
  <c r="H104" i="4"/>
  <c r="G104" i="4"/>
  <c r="G58" i="4" s="1"/>
  <c r="E104" i="3"/>
  <c r="F104" i="4"/>
  <c r="E104" i="4"/>
  <c r="D55" i="4"/>
  <c r="H37" i="2"/>
  <c r="H43" i="2" s="1"/>
  <c r="H55" i="2" s="1"/>
  <c r="C104" i="3"/>
  <c r="E55" i="4"/>
  <c r="F55" i="4"/>
  <c r="C104" i="4"/>
  <c r="G37" i="2"/>
  <c r="G43" i="2" s="1"/>
  <c r="G55" i="2" s="1"/>
  <c r="D104" i="3"/>
  <c r="C104" i="2"/>
  <c r="F104" i="3"/>
  <c r="F60" i="3" s="1"/>
  <c r="H63" i="4"/>
  <c r="H37" i="4"/>
  <c r="H43" i="4" s="1"/>
  <c r="H55" i="4" s="1"/>
  <c r="G55" i="4"/>
  <c r="D104" i="4"/>
  <c r="E34" i="7"/>
  <c r="E45" i="7" s="1"/>
  <c r="H34" i="2"/>
  <c r="H40" i="2" s="1"/>
  <c r="H52" i="2" s="1"/>
  <c r="I34" i="2"/>
  <c r="I40" i="2" s="1"/>
  <c r="I52" i="2" s="1"/>
  <c r="C37" i="2"/>
  <c r="C43" i="2" s="1"/>
  <c r="D104" i="2"/>
  <c r="H104" i="3"/>
  <c r="H107" i="3" s="1"/>
  <c r="I55" i="4"/>
  <c r="J104" i="4"/>
  <c r="D63" i="2"/>
  <c r="F104" i="2"/>
  <c r="I104" i="3"/>
  <c r="I60" i="3" s="1"/>
  <c r="D35" i="4"/>
  <c r="D41" i="4" s="1"/>
  <c r="D47" i="4"/>
  <c r="J63" i="4"/>
  <c r="J49" i="4"/>
  <c r="H51" i="4"/>
  <c r="H57" i="4" s="1"/>
  <c r="J37" i="4"/>
  <c r="J43" i="4" s="1"/>
  <c r="J55" i="4" s="1"/>
  <c r="J61" i="4" s="1"/>
  <c r="E35" i="4"/>
  <c r="E41" i="4" s="1"/>
  <c r="E47" i="4"/>
  <c r="F37" i="2"/>
  <c r="F43" i="2" s="1"/>
  <c r="F55" i="2" s="1"/>
  <c r="F61" i="2" s="1"/>
  <c r="G35" i="2"/>
  <c r="G41" i="2" s="1"/>
  <c r="G47" i="2"/>
  <c r="G104" i="2"/>
  <c r="H75" i="2"/>
  <c r="H81" i="2" s="1"/>
  <c r="H104" i="2"/>
  <c r="F46" i="3"/>
  <c r="F34" i="3"/>
  <c r="F40" i="3" s="1"/>
  <c r="F52" i="3" s="1"/>
  <c r="F35" i="4"/>
  <c r="F41" i="4" s="1"/>
  <c r="F47" i="4"/>
  <c r="E35" i="7"/>
  <c r="E46" i="7" s="1"/>
  <c r="C36" i="4"/>
  <c r="C42" i="4" s="1"/>
  <c r="C35" i="7"/>
  <c r="C46" i="7" s="1"/>
  <c r="I75" i="4"/>
  <c r="I81" i="4" s="1"/>
  <c r="I93" i="4" s="1"/>
  <c r="C36" i="7"/>
  <c r="C47" i="7" s="1"/>
  <c r="J107" i="4"/>
  <c r="D87" i="4"/>
  <c r="D93" i="4" s="1"/>
  <c r="D37" i="7"/>
  <c r="D48" i="7" s="1"/>
  <c r="D27" i="7"/>
  <c r="D64" i="4"/>
  <c r="E87" i="4"/>
  <c r="E93" i="4" s="1"/>
  <c r="E99" i="4" s="1"/>
  <c r="C63" i="4"/>
  <c r="C49" i="4"/>
  <c r="C55" i="4" s="1"/>
  <c r="J35" i="4"/>
  <c r="J41" i="4" s="1"/>
  <c r="J53" i="4" s="1"/>
  <c r="E64" i="4"/>
  <c r="C48" i="4"/>
  <c r="B28" i="7"/>
  <c r="E25" i="7"/>
  <c r="E36" i="7" s="1"/>
  <c r="E47" i="7" s="1"/>
  <c r="E59" i="2" l="1"/>
  <c r="E100" i="2"/>
  <c r="E52" i="2"/>
  <c r="E58" i="2" s="1"/>
  <c r="G65" i="2"/>
  <c r="I61" i="2"/>
  <c r="I60" i="2"/>
  <c r="E37" i="7"/>
  <c r="E48" i="7" s="1"/>
  <c r="C28" i="7"/>
  <c r="H52" i="3"/>
  <c r="H58" i="3" s="1"/>
  <c r="G88" i="2"/>
  <c r="G94" i="2" s="1"/>
  <c r="G100" i="2" s="1"/>
  <c r="J57" i="3"/>
  <c r="F52" i="2"/>
  <c r="F58" i="2" s="1"/>
  <c r="G53" i="4"/>
  <c r="G59" i="4" s="1"/>
  <c r="C52" i="2"/>
  <c r="C58" i="2" s="1"/>
  <c r="D51" i="2"/>
  <c r="D57" i="2" s="1"/>
  <c r="F107" i="3"/>
  <c r="F55" i="3"/>
  <c r="F61" i="3" s="1"/>
  <c r="I100" i="4"/>
  <c r="D60" i="2"/>
  <c r="C53" i="3"/>
  <c r="C59" i="3" s="1"/>
  <c r="C51" i="4"/>
  <c r="C57" i="4" s="1"/>
  <c r="D99" i="4"/>
  <c r="G58" i="2"/>
  <c r="D100" i="3"/>
  <c r="I57" i="2"/>
  <c r="F53" i="4"/>
  <c r="F59" i="4" s="1"/>
  <c r="E99" i="3"/>
  <c r="E53" i="3"/>
  <c r="E59" i="3" s="1"/>
  <c r="C61" i="3"/>
  <c r="G99" i="2"/>
  <c r="F59" i="2"/>
  <c r="E58" i="4"/>
  <c r="C55" i="2"/>
  <c r="C61" i="2" s="1"/>
  <c r="H60" i="4"/>
  <c r="I107" i="4"/>
  <c r="E99" i="2"/>
  <c r="F58" i="3"/>
  <c r="J59" i="4"/>
  <c r="I58" i="2"/>
  <c r="H54" i="2"/>
  <c r="H60" i="2" s="1"/>
  <c r="C61" i="4"/>
  <c r="H93" i="2"/>
  <c r="F93" i="2"/>
  <c r="F99" i="2" s="1"/>
  <c r="C58" i="3"/>
  <c r="G93" i="3"/>
  <c r="G99" i="3" s="1"/>
  <c r="E107" i="2"/>
  <c r="C76" i="2"/>
  <c r="C82" i="2" s="1"/>
  <c r="C65" i="2"/>
  <c r="C88" i="2"/>
  <c r="D38" i="7"/>
  <c r="D49" i="7" s="1"/>
  <c r="D28" i="7"/>
  <c r="E58" i="3"/>
  <c r="H55" i="3"/>
  <c r="H61" i="3" s="1"/>
  <c r="C59" i="4"/>
  <c r="F65" i="4"/>
  <c r="F88" i="4"/>
  <c r="F76" i="4"/>
  <c r="F82" i="4" s="1"/>
  <c r="D58" i="3"/>
  <c r="J55" i="3"/>
  <c r="J61" i="3" s="1"/>
  <c r="G107" i="3"/>
  <c r="E60" i="4"/>
  <c r="E107" i="3"/>
  <c r="E61" i="2"/>
  <c r="H99" i="2"/>
  <c r="E89" i="2"/>
  <c r="E66" i="2"/>
  <c r="E77" i="2"/>
  <c r="E83" i="2" s="1"/>
  <c r="D61" i="2"/>
  <c r="E60" i="3"/>
  <c r="J58" i="3"/>
  <c r="C99" i="3"/>
  <c r="I107" i="3"/>
  <c r="G60" i="4"/>
  <c r="D99" i="3"/>
  <c r="C60" i="3"/>
  <c r="G61" i="3"/>
  <c r="G53" i="2"/>
  <c r="G59" i="2" s="1"/>
  <c r="H75" i="4"/>
  <c r="H81" i="4" s="1"/>
  <c r="H93" i="4" s="1"/>
  <c r="H99" i="4" s="1"/>
  <c r="H87" i="4"/>
  <c r="H64" i="4"/>
  <c r="G89" i="2"/>
  <c r="G66" i="2"/>
  <c r="G77" i="2"/>
  <c r="G83" i="2" s="1"/>
  <c r="G95" i="2" s="1"/>
  <c r="G101" i="2" s="1"/>
  <c r="E100" i="3"/>
  <c r="I89" i="2"/>
  <c r="I66" i="2"/>
  <c r="I77" i="2"/>
  <c r="I83" i="2" s="1"/>
  <c r="I99" i="4"/>
  <c r="D53" i="4"/>
  <c r="D59" i="4" s="1"/>
  <c r="F61" i="4"/>
  <c r="H100" i="2"/>
  <c r="I58" i="4"/>
  <c r="J64" i="3"/>
  <c r="J87" i="3"/>
  <c r="J75" i="3"/>
  <c r="J81" i="3" s="1"/>
  <c r="H58" i="2"/>
  <c r="G65" i="4"/>
  <c r="G88" i="4"/>
  <c r="G76" i="4"/>
  <c r="G82" i="4" s="1"/>
  <c r="G77" i="3"/>
  <c r="G83" i="3" s="1"/>
  <c r="G66" i="3"/>
  <c r="G89" i="3"/>
  <c r="D89" i="3"/>
  <c r="D77" i="3"/>
  <c r="D83" i="3" s="1"/>
  <c r="D95" i="3" s="1"/>
  <c r="D101" i="3" s="1"/>
  <c r="D66" i="3"/>
  <c r="D59" i="2"/>
  <c r="H61" i="4"/>
  <c r="G60" i="2"/>
  <c r="E61" i="3"/>
  <c r="E60" i="2"/>
  <c r="G61" i="2"/>
  <c r="E61" i="4"/>
  <c r="D58" i="2"/>
  <c r="F65" i="2"/>
  <c r="F88" i="2"/>
  <c r="F76" i="2"/>
  <c r="F82" i="2" s="1"/>
  <c r="F60" i="2"/>
  <c r="H59" i="2"/>
  <c r="E38" i="7"/>
  <c r="E49" i="7" s="1"/>
  <c r="E28" i="7"/>
  <c r="D76" i="4"/>
  <c r="D82" i="4" s="1"/>
  <c r="D88" i="4"/>
  <c r="D65" i="4"/>
  <c r="G61" i="4"/>
  <c r="D60" i="4"/>
  <c r="C29" i="7"/>
  <c r="C39" i="7"/>
  <c r="C50" i="7" s="1"/>
  <c r="J88" i="2"/>
  <c r="J65" i="2"/>
  <c r="J76" i="2"/>
  <c r="J82" i="2" s="1"/>
  <c r="G93" i="4"/>
  <c r="G99" i="4" s="1"/>
  <c r="J59" i="3"/>
  <c r="H87" i="3"/>
  <c r="H64" i="3"/>
  <c r="H75" i="3"/>
  <c r="H81" i="3" s="1"/>
  <c r="H93" i="3" s="1"/>
  <c r="H99" i="3" s="1"/>
  <c r="J75" i="4"/>
  <c r="J81" i="4" s="1"/>
  <c r="J87" i="4"/>
  <c r="J64" i="4"/>
  <c r="E77" i="3"/>
  <c r="E83" i="3" s="1"/>
  <c r="E66" i="3"/>
  <c r="E89" i="3"/>
  <c r="C54" i="4"/>
  <c r="C60" i="4" s="1"/>
  <c r="D75" i="2"/>
  <c r="D81" i="2" s="1"/>
  <c r="D87" i="2"/>
  <c r="D64" i="2"/>
  <c r="H61" i="2"/>
  <c r="I59" i="3"/>
  <c r="G52" i="3"/>
  <c r="G58" i="3" s="1"/>
  <c r="D51" i="4"/>
  <c r="D57" i="4" s="1"/>
  <c r="J93" i="2"/>
  <c r="J99" i="2" s="1"/>
  <c r="E65" i="4"/>
  <c r="E88" i="4"/>
  <c r="E76" i="4"/>
  <c r="E82" i="4" s="1"/>
  <c r="E94" i="4" s="1"/>
  <c r="E100" i="4" s="1"/>
  <c r="D53" i="3"/>
  <c r="D59" i="3" s="1"/>
  <c r="E53" i="4"/>
  <c r="E59" i="4" s="1"/>
  <c r="C88" i="3"/>
  <c r="C65" i="3"/>
  <c r="C76" i="3"/>
  <c r="C82" i="3" s="1"/>
  <c r="E107" i="4"/>
  <c r="D61" i="4"/>
  <c r="C51" i="3"/>
  <c r="C57" i="3" s="1"/>
  <c r="I75" i="3"/>
  <c r="I81" i="3" s="1"/>
  <c r="I87" i="3"/>
  <c r="I64" i="3"/>
  <c r="E51" i="4"/>
  <c r="E57" i="4" s="1"/>
  <c r="G107" i="4"/>
  <c r="D61" i="3"/>
  <c r="G51" i="4"/>
  <c r="G57" i="4" s="1"/>
  <c r="F51" i="4"/>
  <c r="F57" i="4" s="1"/>
  <c r="I77" i="4"/>
  <c r="I83" i="4" s="1"/>
  <c r="I89" i="4"/>
  <c r="I66" i="4"/>
  <c r="B29" i="7"/>
  <c r="B39" i="7"/>
  <c r="B50" i="7" s="1"/>
  <c r="I61" i="4"/>
  <c r="I55" i="3"/>
  <c r="I61" i="3" s="1"/>
  <c r="I53" i="4"/>
  <c r="I59" i="4" s="1"/>
  <c r="F57" i="2"/>
  <c r="C75" i="4"/>
  <c r="C81" i="4" s="1"/>
  <c r="C64" i="4"/>
  <c r="C87" i="4"/>
  <c r="I93" i="2"/>
  <c r="I99" i="2" s="1"/>
  <c r="F64" i="3"/>
  <c r="F87" i="3"/>
  <c r="F75" i="3"/>
  <c r="F81" i="3" s="1"/>
  <c r="F93" i="3" s="1"/>
  <c r="F99" i="3" s="1"/>
  <c r="H89" i="2"/>
  <c r="H66" i="2"/>
  <c r="H77" i="2"/>
  <c r="H83" i="2" s="1"/>
  <c r="H95" i="2" s="1"/>
  <c r="H101" i="2" s="1"/>
  <c r="H107" i="4"/>
  <c r="H58" i="4"/>
  <c r="J60" i="3"/>
  <c r="I93" i="3" l="1"/>
  <c r="I99" i="3" s="1"/>
  <c r="E95" i="3"/>
  <c r="E101" i="3" s="1"/>
  <c r="J93" i="3"/>
  <c r="J99" i="3" s="1"/>
  <c r="J93" i="4"/>
  <c r="J99" i="4" s="1"/>
  <c r="I95" i="2"/>
  <c r="I101" i="2" s="1"/>
  <c r="H78" i="2"/>
  <c r="H84" i="2" s="1"/>
  <c r="H67" i="2"/>
  <c r="H90" i="2"/>
  <c r="I78" i="2"/>
  <c r="I84" i="2" s="1"/>
  <c r="I67" i="2"/>
  <c r="I90" i="2"/>
  <c r="E95" i="2"/>
  <c r="E101" i="2" s="1"/>
  <c r="C94" i="2"/>
  <c r="C100" i="2" s="1"/>
  <c r="C89" i="2"/>
  <c r="C66" i="2"/>
  <c r="C77" i="2"/>
  <c r="C83" i="2" s="1"/>
  <c r="C95" i="2" s="1"/>
  <c r="C101" i="2" s="1"/>
  <c r="C40" i="7"/>
  <c r="C51" i="7" s="1"/>
  <c r="C30" i="7"/>
  <c r="D67" i="3"/>
  <c r="D78" i="3"/>
  <c r="D84" i="3" s="1"/>
  <c r="D90" i="3"/>
  <c r="E78" i="2"/>
  <c r="E84" i="2" s="1"/>
  <c r="E96" i="2" s="1"/>
  <c r="E102" i="2" s="1"/>
  <c r="E90" i="2"/>
  <c r="E67" i="2"/>
  <c r="B40" i="7"/>
  <c r="B51" i="7" s="1"/>
  <c r="B30" i="7"/>
  <c r="I95" i="4"/>
  <c r="I101" i="4" s="1"/>
  <c r="E77" i="4"/>
  <c r="E83" i="4" s="1"/>
  <c r="E66" i="4"/>
  <c r="E89" i="4"/>
  <c r="F88" i="3"/>
  <c r="F65" i="3"/>
  <c r="F76" i="3"/>
  <c r="F82" i="3" s="1"/>
  <c r="F94" i="3" s="1"/>
  <c r="F100" i="3" s="1"/>
  <c r="D93" i="2"/>
  <c r="D99" i="2" s="1"/>
  <c r="G78" i="2"/>
  <c r="G84" i="2" s="1"/>
  <c r="G67" i="2"/>
  <c r="G90" i="2"/>
  <c r="I88" i="3"/>
  <c r="I65" i="3"/>
  <c r="I76" i="3"/>
  <c r="I82" i="3" s="1"/>
  <c r="I94" i="3" s="1"/>
  <c r="I100" i="3" s="1"/>
  <c r="G78" i="3"/>
  <c r="G84" i="3" s="1"/>
  <c r="G67" i="3"/>
  <c r="G90" i="3"/>
  <c r="D76" i="2"/>
  <c r="D82" i="2" s="1"/>
  <c r="D94" i="2" s="1"/>
  <c r="D100" i="2" s="1"/>
  <c r="D65" i="2"/>
  <c r="D88" i="2"/>
  <c r="D94" i="4"/>
  <c r="D100" i="4" s="1"/>
  <c r="G95" i="3"/>
  <c r="G101" i="3" s="1"/>
  <c r="H88" i="4"/>
  <c r="H65" i="4"/>
  <c r="H76" i="4"/>
  <c r="H82" i="4" s="1"/>
  <c r="J88" i="3"/>
  <c r="J65" i="3"/>
  <c r="J76" i="3"/>
  <c r="J82" i="3" s="1"/>
  <c r="I78" i="4"/>
  <c r="I84" i="4" s="1"/>
  <c r="I67" i="4"/>
  <c r="I90" i="4"/>
  <c r="D77" i="4"/>
  <c r="D83" i="4" s="1"/>
  <c r="D66" i="4"/>
  <c r="D89" i="4"/>
  <c r="E29" i="7"/>
  <c r="E39" i="7"/>
  <c r="E50" i="7" s="1"/>
  <c r="G94" i="4"/>
  <c r="G100" i="4" s="1"/>
  <c r="F89" i="2"/>
  <c r="F66" i="2"/>
  <c r="F77" i="2"/>
  <c r="F83" i="2" s="1"/>
  <c r="E78" i="3"/>
  <c r="E84" i="3" s="1"/>
  <c r="E67" i="3"/>
  <c r="E90" i="3"/>
  <c r="J89" i="2"/>
  <c r="J66" i="2"/>
  <c r="J77" i="2"/>
  <c r="J83" i="2" s="1"/>
  <c r="C76" i="4"/>
  <c r="C82" i="4" s="1"/>
  <c r="C65" i="4"/>
  <c r="C88" i="4"/>
  <c r="C93" i="4"/>
  <c r="C99" i="4" s="1"/>
  <c r="C94" i="3"/>
  <c r="C100" i="3" s="1"/>
  <c r="G66" i="4"/>
  <c r="G89" i="4"/>
  <c r="G77" i="4"/>
  <c r="G83" i="4" s="1"/>
  <c r="G95" i="4" s="1"/>
  <c r="G101" i="4" s="1"/>
  <c r="H88" i="3"/>
  <c r="H65" i="3"/>
  <c r="H76" i="3"/>
  <c r="H82" i="3" s="1"/>
  <c r="C89" i="3"/>
  <c r="C66" i="3"/>
  <c r="C77" i="3"/>
  <c r="C83" i="3" s="1"/>
  <c r="C95" i="3" s="1"/>
  <c r="C101" i="3" s="1"/>
  <c r="J88" i="4"/>
  <c r="J65" i="4"/>
  <c r="J76" i="4"/>
  <c r="J82" i="4" s="1"/>
  <c r="F66" i="4"/>
  <c r="F89" i="4"/>
  <c r="F77" i="4"/>
  <c r="F83" i="4" s="1"/>
  <c r="F95" i="4" s="1"/>
  <c r="F101" i="4" s="1"/>
  <c r="D29" i="7"/>
  <c r="D39" i="7"/>
  <c r="D50" i="7" s="1"/>
  <c r="J94" i="2"/>
  <c r="J100" i="2" s="1"/>
  <c r="F94" i="2"/>
  <c r="F100" i="2" s="1"/>
  <c r="F94" i="4"/>
  <c r="F100" i="4" s="1"/>
  <c r="H94" i="3" l="1"/>
  <c r="H100" i="3" s="1"/>
  <c r="I96" i="2"/>
  <c r="I102" i="2" s="1"/>
  <c r="C94" i="4"/>
  <c r="C100" i="4" s="1"/>
  <c r="J94" i="4"/>
  <c r="J100" i="4" s="1"/>
  <c r="F78" i="4"/>
  <c r="F84" i="4" s="1"/>
  <c r="F67" i="4"/>
  <c r="F90" i="4"/>
  <c r="J77" i="4"/>
  <c r="J83" i="4" s="1"/>
  <c r="J66" i="4"/>
  <c r="J89" i="4"/>
  <c r="D89" i="2"/>
  <c r="D66" i="2"/>
  <c r="D77" i="2"/>
  <c r="D83" i="2" s="1"/>
  <c r="D95" i="2" s="1"/>
  <c r="D101" i="2" s="1"/>
  <c r="H96" i="2"/>
  <c r="H102" i="2" s="1"/>
  <c r="E96" i="3"/>
  <c r="E102" i="3" s="1"/>
  <c r="H79" i="2"/>
  <c r="H85" i="2" s="1"/>
  <c r="H91" i="2"/>
  <c r="F95" i="2"/>
  <c r="F101" i="2" s="1"/>
  <c r="D96" i="3"/>
  <c r="D102" i="3" s="1"/>
  <c r="B31" i="7"/>
  <c r="B42" i="7" s="1"/>
  <c r="B41" i="7"/>
  <c r="B52" i="7" s="1"/>
  <c r="F67" i="2"/>
  <c r="F78" i="2"/>
  <c r="F84" i="2" s="1"/>
  <c r="F90" i="2"/>
  <c r="E40" i="7"/>
  <c r="E51" i="7" s="1"/>
  <c r="E30" i="7"/>
  <c r="G96" i="3"/>
  <c r="G102" i="3" s="1"/>
  <c r="I77" i="3"/>
  <c r="I83" i="3" s="1"/>
  <c r="I66" i="3"/>
  <c r="I89" i="3"/>
  <c r="D95" i="4"/>
  <c r="D101" i="4" s="1"/>
  <c r="C31" i="7"/>
  <c r="C42" i="7" s="1"/>
  <c r="C41" i="7"/>
  <c r="C52" i="7" s="1"/>
  <c r="C67" i="3"/>
  <c r="C90" i="3"/>
  <c r="C78" i="3"/>
  <c r="C84" i="3" s="1"/>
  <c r="E95" i="4"/>
  <c r="E101" i="4" s="1"/>
  <c r="E91" i="2"/>
  <c r="E79" i="2"/>
  <c r="E85" i="2" s="1"/>
  <c r="E97" i="2" s="1"/>
  <c r="E103" i="2" s="1"/>
  <c r="E105" i="2" s="1"/>
  <c r="E109" i="2" s="1"/>
  <c r="D91" i="3"/>
  <c r="D79" i="3"/>
  <c r="D85" i="3" s="1"/>
  <c r="D97" i="3" s="1"/>
  <c r="G78" i="4"/>
  <c r="G84" i="4" s="1"/>
  <c r="G96" i="4" s="1"/>
  <c r="G102" i="4" s="1"/>
  <c r="G67" i="4"/>
  <c r="G90" i="4"/>
  <c r="I91" i="4"/>
  <c r="I79" i="4"/>
  <c r="I85" i="4" s="1"/>
  <c r="E78" i="4"/>
  <c r="E84" i="4" s="1"/>
  <c r="E67" i="4"/>
  <c r="E90" i="4"/>
  <c r="H77" i="3"/>
  <c r="H83" i="3" s="1"/>
  <c r="H66" i="3"/>
  <c r="H89" i="3"/>
  <c r="I96" i="4"/>
  <c r="I102" i="4" s="1"/>
  <c r="G79" i="2"/>
  <c r="G85" i="2" s="1"/>
  <c r="G91" i="2"/>
  <c r="C90" i="2"/>
  <c r="C67" i="2"/>
  <c r="C78" i="2"/>
  <c r="C84" i="2" s="1"/>
  <c r="C96" i="2" s="1"/>
  <c r="C102" i="2" s="1"/>
  <c r="D67" i="4"/>
  <c r="D78" i="4"/>
  <c r="D84" i="4" s="1"/>
  <c r="D90" i="4"/>
  <c r="J94" i="3"/>
  <c r="J100" i="3" s="1"/>
  <c r="G96" i="2"/>
  <c r="G102" i="2" s="1"/>
  <c r="E91" i="3"/>
  <c r="E79" i="3"/>
  <c r="E85" i="3" s="1"/>
  <c r="J77" i="3"/>
  <c r="J83" i="3" s="1"/>
  <c r="J66" i="3"/>
  <c r="J89" i="3"/>
  <c r="J95" i="2"/>
  <c r="J101" i="2" s="1"/>
  <c r="F77" i="3"/>
  <c r="F83" i="3" s="1"/>
  <c r="F66" i="3"/>
  <c r="F89" i="3"/>
  <c r="I91" i="2"/>
  <c r="I79" i="2"/>
  <c r="I85" i="2" s="1"/>
  <c r="I97" i="2" s="1"/>
  <c r="I103" i="2" s="1"/>
  <c r="I105" i="2" s="1"/>
  <c r="I109" i="2" s="1"/>
  <c r="G91" i="3"/>
  <c r="G79" i="3"/>
  <c r="G85" i="3" s="1"/>
  <c r="C89" i="4"/>
  <c r="C66" i="4"/>
  <c r="C77" i="4"/>
  <c r="C83" i="4" s="1"/>
  <c r="C95" i="4" s="1"/>
  <c r="C101" i="4" s="1"/>
  <c r="H94" i="4"/>
  <c r="H100" i="4" s="1"/>
  <c r="D40" i="7"/>
  <c r="D51" i="7" s="1"/>
  <c r="D30" i="7"/>
  <c r="J78" i="2"/>
  <c r="J84" i="2" s="1"/>
  <c r="J67" i="2"/>
  <c r="J90" i="2"/>
  <c r="H77" i="4"/>
  <c r="H83" i="4" s="1"/>
  <c r="H89" i="4"/>
  <c r="H66" i="4"/>
  <c r="G97" i="2" l="1"/>
  <c r="G103" i="2" s="1"/>
  <c r="F96" i="2"/>
  <c r="F102" i="2" s="1"/>
  <c r="D78" i="2"/>
  <c r="D84" i="2" s="1"/>
  <c r="D90" i="2"/>
  <c r="D67" i="2"/>
  <c r="I78" i="3"/>
  <c r="I84" i="3" s="1"/>
  <c r="I90" i="3"/>
  <c r="I67" i="3"/>
  <c r="J95" i="4"/>
  <c r="J101" i="4" s="1"/>
  <c r="C96" i="3"/>
  <c r="C102" i="3" s="1"/>
  <c r="C79" i="2"/>
  <c r="C85" i="2" s="1"/>
  <c r="C91" i="2"/>
  <c r="C55" i="7"/>
  <c r="C56" i="7" s="1"/>
  <c r="C53" i="7"/>
  <c r="C54" i="7" s="1"/>
  <c r="C57" i="7" s="1"/>
  <c r="C58" i="7" s="1"/>
  <c r="C59" i="7" s="1"/>
  <c r="C60" i="7" s="1"/>
  <c r="G97" i="3"/>
  <c r="G103" i="3" s="1"/>
  <c r="G105" i="3" s="1"/>
  <c r="G109" i="3" s="1"/>
  <c r="I95" i="3"/>
  <c r="I101" i="3" s="1"/>
  <c r="F96" i="4"/>
  <c r="F102" i="4" s="1"/>
  <c r="J78" i="3"/>
  <c r="J84" i="3" s="1"/>
  <c r="J67" i="3"/>
  <c r="J90" i="3"/>
  <c r="I97" i="4"/>
  <c r="I103" i="4" s="1"/>
  <c r="I105" i="4" s="1"/>
  <c r="I109" i="4" s="1"/>
  <c r="E31" i="7"/>
  <c r="E42" i="7" s="1"/>
  <c r="E41" i="7"/>
  <c r="E52" i="7" s="1"/>
  <c r="C79" i="3"/>
  <c r="C85" i="3" s="1"/>
  <c r="C91" i="3"/>
  <c r="J90" i="4"/>
  <c r="J78" i="4"/>
  <c r="J84" i="4" s="1"/>
  <c r="J96" i="4" s="1"/>
  <c r="J102" i="4" s="1"/>
  <c r="J67" i="4"/>
  <c r="F67" i="3"/>
  <c r="F78" i="3"/>
  <c r="F84" i="3" s="1"/>
  <c r="F90" i="3"/>
  <c r="E96" i="4"/>
  <c r="E102" i="4" s="1"/>
  <c r="E97" i="3"/>
  <c r="E103" i="3" s="1"/>
  <c r="E105" i="3" s="1"/>
  <c r="E109" i="3" s="1"/>
  <c r="F79" i="2"/>
  <c r="F85" i="2" s="1"/>
  <c r="F91" i="2"/>
  <c r="C78" i="4"/>
  <c r="C84" i="4" s="1"/>
  <c r="C67" i="4"/>
  <c r="C90" i="4"/>
  <c r="F95" i="3"/>
  <c r="F101" i="3" s="1"/>
  <c r="H67" i="4"/>
  <c r="H78" i="4"/>
  <c r="H84" i="4" s="1"/>
  <c r="H90" i="4"/>
  <c r="B55" i="7"/>
  <c r="B56" i="7" s="1"/>
  <c r="B53" i="7"/>
  <c r="B54" i="7" s="1"/>
  <c r="B57" i="7" s="1"/>
  <c r="B58" i="7" s="1"/>
  <c r="B59" i="7" s="1"/>
  <c r="B60" i="7" s="1"/>
  <c r="H78" i="3"/>
  <c r="H84" i="3" s="1"/>
  <c r="H90" i="3"/>
  <c r="H67" i="3"/>
  <c r="E91" i="4"/>
  <c r="E79" i="4"/>
  <c r="E85" i="4" s="1"/>
  <c r="J95" i="3"/>
  <c r="J101" i="3" s="1"/>
  <c r="H95" i="4"/>
  <c r="H101" i="4" s="1"/>
  <c r="D105" i="3"/>
  <c r="J96" i="2"/>
  <c r="J102" i="2" s="1"/>
  <c r="F91" i="4"/>
  <c r="F79" i="4"/>
  <c r="F85" i="4" s="1"/>
  <c r="G91" i="4"/>
  <c r="G79" i="4"/>
  <c r="G85" i="4" s="1"/>
  <c r="G97" i="4" s="1"/>
  <c r="G103" i="4" s="1"/>
  <c r="G105" i="4" s="1"/>
  <c r="G109" i="4" s="1"/>
  <c r="J91" i="2"/>
  <c r="J79" i="2"/>
  <c r="J85" i="2" s="1"/>
  <c r="J97" i="2" s="1"/>
  <c r="J103" i="2" s="1"/>
  <c r="J105" i="2" s="1"/>
  <c r="J109" i="2" s="1"/>
  <c r="D31" i="7"/>
  <c r="D42" i="7" s="1"/>
  <c r="D41" i="7"/>
  <c r="D52" i="7" s="1"/>
  <c r="D79" i="4"/>
  <c r="D85" i="4" s="1"/>
  <c r="D91" i="4"/>
  <c r="H95" i="3"/>
  <c r="H101" i="3" s="1"/>
  <c r="G105" i="2"/>
  <c r="G109" i="2" s="1"/>
  <c r="D106" i="3"/>
  <c r="D107" i="3" s="1"/>
  <c r="D103" i="3"/>
  <c r="D96" i="4"/>
  <c r="D102" i="4" s="1"/>
  <c r="H97" i="2"/>
  <c r="H103" i="2" s="1"/>
  <c r="H105" i="2" s="1"/>
  <c r="H109" i="2" s="1"/>
  <c r="F96" i="3" l="1"/>
  <c r="F102" i="3" s="1"/>
  <c r="D109" i="3"/>
  <c r="D96" i="2"/>
  <c r="D102" i="2" s="1"/>
  <c r="E97" i="4"/>
  <c r="E103" i="4" s="1"/>
  <c r="E105" i="4" s="1"/>
  <c r="E109" i="4" s="1"/>
  <c r="C97" i="3"/>
  <c r="F97" i="2"/>
  <c r="F103" i="2" s="1"/>
  <c r="F105" i="2" s="1"/>
  <c r="F109" i="2" s="1"/>
  <c r="H96" i="3"/>
  <c r="H102" i="3" s="1"/>
  <c r="H96" i="4"/>
  <c r="H102" i="4" s="1"/>
  <c r="J96" i="3"/>
  <c r="J102" i="3" s="1"/>
  <c r="C97" i="2"/>
  <c r="F91" i="3"/>
  <c r="F79" i="3"/>
  <c r="F85" i="3" s="1"/>
  <c r="C96" i="4"/>
  <c r="C102" i="4" s="1"/>
  <c r="H91" i="3"/>
  <c r="H79" i="3"/>
  <c r="H85" i="3" s="1"/>
  <c r="H97" i="3" s="1"/>
  <c r="H103" i="3" s="1"/>
  <c r="H105" i="3" s="1"/>
  <c r="H109" i="3" s="1"/>
  <c r="I96" i="3"/>
  <c r="I102" i="3" s="1"/>
  <c r="H91" i="4"/>
  <c r="H79" i="4"/>
  <c r="H85" i="4" s="1"/>
  <c r="H97" i="4" s="1"/>
  <c r="H103" i="4" s="1"/>
  <c r="H105" i="4" s="1"/>
  <c r="H109" i="4" s="1"/>
  <c r="F97" i="4"/>
  <c r="F103" i="4" s="1"/>
  <c r="F105" i="4" s="1"/>
  <c r="F109" i="4" s="1"/>
  <c r="C91" i="4"/>
  <c r="C79" i="4"/>
  <c r="C85" i="4" s="1"/>
  <c r="D79" i="2"/>
  <c r="D85" i="2" s="1"/>
  <c r="D91" i="2"/>
  <c r="J91" i="3"/>
  <c r="J79" i="3"/>
  <c r="J85" i="3" s="1"/>
  <c r="J97" i="3" s="1"/>
  <c r="J103" i="3" s="1"/>
  <c r="C106" i="3"/>
  <c r="C107" i="3" s="1"/>
  <c r="C103" i="3"/>
  <c r="C105" i="3" s="1"/>
  <c r="J79" i="4"/>
  <c r="J85" i="4" s="1"/>
  <c r="J91" i="4"/>
  <c r="D97" i="4"/>
  <c r="E55" i="7"/>
  <c r="E56" i="7" s="1"/>
  <c r="E53" i="7"/>
  <c r="E54" i="7" s="1"/>
  <c r="E57" i="7" s="1"/>
  <c r="E58" i="7" s="1"/>
  <c r="E59" i="7" s="1"/>
  <c r="E60" i="7" s="1"/>
  <c r="I91" i="3"/>
  <c r="I79" i="3"/>
  <c r="I85" i="3" s="1"/>
  <c r="I97" i="3" s="1"/>
  <c r="I103" i="3" s="1"/>
  <c r="D55" i="7"/>
  <c r="D56" i="7" s="1"/>
  <c r="D53" i="7"/>
  <c r="D54" i="7" s="1"/>
  <c r="C109" i="3" l="1"/>
  <c r="C97" i="4"/>
  <c r="J105" i="3"/>
  <c r="J109" i="3" s="1"/>
  <c r="C103" i="4"/>
  <c r="C105" i="4" s="1"/>
  <c r="C106" i="4"/>
  <c r="C107" i="4" s="1"/>
  <c r="D57" i="7"/>
  <c r="D58" i="7" s="1"/>
  <c r="D59" i="7" s="1"/>
  <c r="D60" i="7" s="1"/>
  <c r="C106" i="2"/>
  <c r="C107" i="2" s="1"/>
  <c r="C103" i="2"/>
  <c r="C105" i="2" s="1"/>
  <c r="C109" i="2" s="1"/>
  <c r="D97" i="2"/>
  <c r="F97" i="3"/>
  <c r="F103" i="3" s="1"/>
  <c r="F105" i="3" s="1"/>
  <c r="F109" i="3" s="1"/>
  <c r="K110" i="3" s="1"/>
  <c r="I105" i="3"/>
  <c r="I109" i="3" s="1"/>
  <c r="D103" i="4"/>
  <c r="D105" i="4" s="1"/>
  <c r="D106" i="4"/>
  <c r="D107" i="4" s="1"/>
  <c r="J97" i="4"/>
  <c r="J103" i="4" s="1"/>
  <c r="J105" i="4" s="1"/>
  <c r="J109" i="4" s="1"/>
  <c r="D109" i="4" l="1"/>
  <c r="D103" i="2"/>
  <c r="D105" i="2" s="1"/>
  <c r="D106" i="2"/>
  <c r="D107" i="2" s="1"/>
  <c r="C109" i="4"/>
  <c r="K109" i="3"/>
  <c r="K119" i="3" s="1"/>
  <c r="K122" i="3" s="1"/>
  <c r="B17" i="6" s="1"/>
  <c r="K110" i="4" l="1"/>
  <c r="K109" i="4"/>
  <c r="K119" i="4" s="1"/>
  <c r="K122" i="4" s="1"/>
  <c r="B19" i="6" s="1"/>
  <c r="E19" i="6" s="1"/>
  <c r="E17" i="6"/>
  <c r="D109" i="2"/>
  <c r="K110" i="2" l="1"/>
  <c r="K109" i="2"/>
  <c r="K119" i="2" s="1"/>
  <c r="K122" i="2" s="1"/>
  <c r="B18" i="6" s="1"/>
  <c r="E18" i="6" l="1"/>
  <c r="E21" i="6"/>
  <c r="B21" i="6"/>
</calcChain>
</file>

<file path=xl/sharedStrings.xml><?xml version="1.0" encoding="utf-8"?>
<sst xmlns="http://schemas.openxmlformats.org/spreadsheetml/2006/main" count="599" uniqueCount="337">
  <si>
    <t>FinSurf — SOTP-DCF Inputs</t>
  </si>
  <si>
    <t>Phase 2 v3 — per-Segment WACC (Damodaran β), shared D/E + tax. Column C = Reasoning.</t>
  </si>
  <si>
    <t>── Company ──</t>
  </si>
  <si>
    <t>Company</t>
  </si>
  <si>
    <t>BMW Group</t>
  </si>
  <si>
    <t>Ticker</t>
  </si>
  <si>
    <t>BMW.DE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</si>
  <si>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</si>
  <si>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</si>
  <si>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</si>
  <si>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</si>
  <si>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</si>
  <si>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</si>
  <si>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</si>
  <si>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</si>
  <si>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</si>
  <si>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</si>
  <si>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</si>
  <si>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</si>
  <si>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</si>
  <si>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Näherung Bund 10J Jahresende 2025 (wird von Python mit Marktdaten überschrieben)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</si>
  <si>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</si>
  <si>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</si>
  <si>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</si>
  <si>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</si>
  <si>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</si>
  <si>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</si>
  <si>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</si>
  <si>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</si>
  <si>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</si>
  <si>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</si>
  <si>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China ~18,6% des externen Konzernumsatzes; gewichtete Damodaran-artige EM/China-Prämie ~0,7% proportional angesetzt; Rest des Umsatzes in reifen, niedrig-CRP-Märkten (Europa, USA, entwickeltes Asien).</t>
  </si>
  <si>
    <t>Specific Risk Premium</t>
  </si>
  <si>
    <t>Keine materielle Governance-/Konzentrations-/Rechtsrisikoprämie identifiziert über die langjährige Dual-Class-Struktur (Stamm-/Vorzugsaktien) hinaus, die bereits über den Vorzugsaktien-Discount vom Markt bepreist wird.</t>
  </si>
  <si>
    <t>Cost of Equity Group [calc, ≥ Kd + Nachrang-Spread]</t>
  </si>
  <si>
    <t>Cost of Debt pre-tax (Kd)</t>
  </si>
  <si>
    <t>BMW AG A2 (Moody's)/A (S&amp;P), hohes Investment-Grade; industrieller (Nicht-FS) Zinsaufwand von ca. €269m bei geringem externem Finanzschuldenbedarf angesichts der Netto-Cash-Position von Automotive; angenommener Spread ~100bps über risikofreiem Zins (~2,5%) = ~3,7% Vorsteuer-Fremdkapitalkosten für die industrielle Kapitalstruktur.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</si>
  <si>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</si>
  <si>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</si>
  <si>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</si>
  <si>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</si>
  <si>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</si>
  <si>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</si>
  <si>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</si>
  <si>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</si>
  <si>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</si>
  <si>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</si>
  <si>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</si>
  <si>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</si>
  <si>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</si>
  <si>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</si>
  <si>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</si>
  <si>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34,325 Mio EUR (BMW.DE) → Large/Mega Cap (&gt; 10 Mrd): +0.00 pp auf Ke</t>
  </si>
  <si>
    <t>Pensions-Unterdeckung (DBO - Planvermoegen), Anhang</t>
  </si>
  <si>
    <t>Hybrid-/Nachrangkapital, von IFRS als Eigenkapital gefuehrt</t>
  </si>
  <si>
    <t>SOTP DCF [Base] — Segment-Level Forecast + Group-Aggregation</t>
  </si>
  <si>
    <t>Yellow = Inputs. Orange = Reasoning (Writer befüllt nach Review-Call). Blue = computed. Green = output.</t>
  </si>
  <si>
    <t>Automotive</t>
  </si>
  <si>
    <t>Motorcycles</t>
  </si>
  <si>
    <t>Segment 3</t>
  </si>
  <si>
    <t>Segment 4</t>
  </si>
  <si>
    <t>Segment 5</t>
  </si>
  <si>
    <t>Segment 6</t>
  </si>
  <si>
    <t>Segment 7</t>
  </si>
  <si>
    <t>Segment 8</t>
  </si>
  <si>
    <t>GROUP</t>
  </si>
  <si>
    <t>Segment name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</si>
  <si>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</si>
  <si>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</si>
  <si>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</si>
  <si>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</si>
  <si>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</si>
  <si>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</si>
  <si>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</si>
  <si>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</si>
  <si>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</si>
  <si>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</si>
  <si>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</si>
  <si>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</si>
  <si>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</si>
  <si>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</si>
  <si>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Automotive-Umsatz fiel -5,9% YoY (2025: €117.557m vs 2024: €124.917m), getrieben durch Wettbewerbsdruck, China-Händlerunterstützung und niedrigere Auslieferungen an Handelspartner. Nur ein YoY-Datenpunkt im Bericht extrahiert (basis=single_year_proxy, keine Mehrjahres-Segmentumsatzreihe verfügbar) — kein harter Anker. Keine explizite Mehrjahres-Umsatzguidance im extrahierten Outlook-Abschnitt gefunden. NEUE-KLASSE-Hochlauf (iX3 2025, X5/X7-Nachfolger, vollständiger Agentur-Rollout für BMW-Mar...</t>
  </si>
  <si>
    <t>Motorcycles-Umsatz -2,4% YoY (2025: €3.143m vs 2024: €3.220m), passend zu leicht rückläufigen Auslieferungen (202.563 Einheiten). Nur ein YoY-Datenpunkt extrahiert (basis=single_year_proxy). BMW Motorrad bleibt Kategorieführer im Premium-Zweirad-Segment; moderates langfristiges Volumen-/Preiswachstum angenommen. Modellierte 2% CAGR reflektiert reifes, niedrig wachsendes Nischengeschäft.</t>
  </si>
  <si>
    <t>Margin-Reasoning (Review-Call-Audit)</t>
  </si>
  <si>
    <t>Y1 5,3% = berichtete FY2025 Automotive-EBIT-Marge (Ergebnis vor Finanzergebnis €6.259m / Umsatz €117.557m), innerhalb der Guidance-Korridor 5-7% für 2025 (Rückgang von 6,32% Marge/11,4% RoCE in 2024). Enthält laut Management ca. 1,5pp Belastung durch US-Zölle und EU-Anti-Subventions-Zölle. Volle IFRS-Basis, keine Non-GAAP-Bereinigung. Y5 8,0% verankert am eigenen strategischen Finanzziel 'EBIT margin in the Automotive segment: 8-10%' (S.3, Financial Goals) — am unteren Rand angesetzt wegen an...</t>
  </si>
  <si>
    <t>Y1 5,7% = berichtete FY2025 EBIT-Marge (€178m/€3.143m), innerhalb Korridor 5,5-7,5%. Y5 6,5% unterstellt moderate Margenverbesserung innerhalb des Korridors via Mix/Premiumisierung; kein explizites Mittelfrist-Margenziel über den Jahreskorridor hinaus im Bericht gefunden.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</si>
  <si>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</si>
  <si>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</si>
  <si>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</si>
  <si>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</si>
  <si>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</si>
  <si>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</si>
  <si>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</si>
  <si>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</si>
  <si>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</si>
  <si>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</si>
  <si>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</si>
  <si>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</si>
  <si>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</si>
  <si>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</si>
  <si>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</si>
  <si>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</si>
  <si>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</si>
  <si>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</si>
  <si>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</si>
  <si>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</si>
  <si>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</si>
  <si>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</si>
  <si>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</si>
  <si>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</si>
  <si>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</si>
  <si>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</si>
  <si>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</si>
  <si>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</si>
  <si>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</si>
  <si>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</si>
  <si>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</si>
  <si>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</si>
  <si>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</si>
  <si>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</si>
  <si>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</si>
  <si>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</si>
  <si>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</si>
  <si>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</si>
  <si>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</si>
  <si>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</si>
  <si>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</si>
  <si>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</si>
  <si>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</si>
  <si>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</si>
  <si>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</si>
  <si>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</si>
  <si>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</si>
  <si>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</si>
  <si>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</si>
  <si>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</si>
  <si>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</si>
  <si>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</si>
  <si>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</si>
  <si>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</si>
  <si>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</si>
  <si>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</si>
  <si>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</si>
  <si>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</si>
  <si>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</si>
  <si>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</si>
  <si>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</si>
  <si>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</si>
  <si>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</si>
  <si>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</si>
  <si>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</si>
  <si>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</si>
  <si>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</si>
  <si>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</si>
  <si>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</si>
  <si>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</si>
  <si>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</si>
  <si>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</si>
  <si>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</si>
  <si>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</si>
  <si>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</si>
  <si>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</si>
  <si>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</si>
  <si>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</si>
  <si>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</si>
  <si>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</si>
  <si>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</si>
  <si>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</si>
  <si>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</si>
  <si>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</si>
  <si>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</si>
  <si>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</si>
  <si>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</si>
  <si>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</si>
  <si>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- Pensionsunterdeckung / Hybridkapital (oben enthalten)</t>
  </si>
  <si>
    <t>Price Target (per Share)</t>
  </si>
  <si>
    <t>SOTP DCF [Bull] — Segment-Level Forecast + Group-Aggregation</t>
  </si>
  <si>
    <t>Bull: +2.0 pp Zolllösung (EU-Zollsenkung 10%→0% wird umgesetzt) plus stärkere NEUE-KLASSE-Nachfrage hebt Volumen/Preise: +2pp CAGR gegenüber Base. | ewiges Wachstum +0.5 pp aus der Standard-Spreizung</t>
  </si>
  <si>
    <t>Bull: +1.5 pp aus der Standard-Spreizung (Beta 1.22, Netto-Schuld/EBITDA 13.3x, Korrelationsfaktor 0.99) — kein benannter Treiber, also keine eigene These fuer dieses Segment.</t>
  </si>
  <si>
    <t>Bull: +2.0 pp Schnellere Margenerholung Richtung oberem Rand des 8-10%-Ziels, da Zölle nachlassen und NEUE-KLASSE-Kosteneffizienzen wirken: Y5-Marge +2pp auf ca. 10%. | Marge Y1 +3.0 pp aus der Standard-Spreizung</t>
  </si>
  <si>
    <t>Bull: +3.0 pp aus der Standard-Spreizung (Beta 1.22, Netto-Schuld/EBITDA 13.3x, Korrelationsfaktor 0.99) — kein benannter Treiber, also keine eigene These fuer dieses Segment.</t>
  </si>
  <si>
    <t>SOTP DCF [Bear] — Segment-Level Forecast + Group-Aggregation</t>
  </si>
  <si>
    <t>Bear: -3.0 pp Chinesischer OEM-Wettbewerb verschärft sich, erfordert weitere Händler-Preisunterstützung und Anteilsverluste; Zölle bleiben bestehen oder verschärfen sich: CAGR fällt auf ca. -1%.; -1.0 pp Weitere USD-/RMB-/KRW-Abwertung gegenüber EUR (bereits Treiber der 2,4pp-Lücke zwischen nominalem und währungsbereinigtem Umsatzrückgang in FY2025) reduziert den ausgewiesenen EUR-Umsatz segmentübergreifend. [konzernweiter Treiber] | ewiges Wachstum -0.7 pp aus der Standard-Spreizung</t>
  </si>
  <si>
    <t>Bear: -1.0 pp Weitere USD-/RMB-/KRW-Abwertung gegenüber EUR (bereits Treiber der 2,4pp-Lücke zwischen nominalem und währungsbereinigtem Umsatzrückgang in FY2025) reduziert den ausgewiesenen EUR-Umsatz segmentübergreifend. [konzernweiter Treiber] | ewiges Wachstum -0.7 pp aus der Standard-Spreizung</t>
  </si>
  <si>
    <t>Bear: -2.5 pp Anhaltende Zölle, Wettbewerbsdruck bei Preisen und langsamerer NEUE-KLASSE-Hochlauf halten die Marge nahe dem aktuellen 5,3%-Korridor-Boden, ca. 2,5pp unter Base-Y5. | Marge Y1 -3.5 pp aus der Standard-Spreizung</t>
  </si>
  <si>
    <t>Bear: -3.5 pp aus der Standard-Spreizung (Beta 1.22, Netto-Schuld/EBITDA 13.3x, Korrelationsfaktor 0.99) — kein benannter Treiber, also keine eigene These fuer dieses Segment.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</si>
  <si>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</si>
  <si>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</si>
  <si>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</si>
  <si>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</si>
  <si>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</si>
  <si>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</si>
  <si>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</si>
  <si>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</si>
  <si>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</si>
  <si>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</si>
  <si>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</si>
  <si>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</si>
  <si>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</si>
  <si>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</si>
  <si>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</si>
  <si>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</si>
  <si>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</si>
  <si>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</si>
  <si>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</si>
  <si>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</si>
  <si>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</si>
  <si>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</si>
  <si>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</si>
  <si>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</si>
  <si>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</si>
  <si>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</si>
  <si>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</si>
  <si>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</si>
  <si>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</si>
  <si>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</si>
  <si>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</si>
  <si>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</si>
  <si>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</si>
  <si>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</si>
  <si>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</si>
  <si>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</si>
  <si>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</si>
  <si>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</si>
  <si>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</si>
  <si>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</si>
  <si>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</si>
  <si>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neutral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</si>
  <si>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</si>
  <si>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</si>
  <si>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</si>
  <si>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</si>
  <si>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</si>
  <si>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Note-Absatz (|Divergenz| &gt; 25%)</t>
  </si>
  <si>
    <t>JA — Note narriert</t>
  </si>
  <si>
    <t>Hebel erreichbar?</t>
  </si>
  <si>
    <t>ja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</si>
  <si>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</si>
  <si>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</si>
  <si>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</si>
  <si>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</si>
  <si>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</si>
  <si>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</si>
  <si>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</si>
  <si>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</si>
  <si>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</si>
  <si>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</si>
  <si>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</si>
  <si>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</si>
  <si>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</si>
  <si>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</si>
  <si>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</si>
  <si>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</si>
  <si>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</si>
  <si>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</si>
  <si>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</si>
  <si>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</si>
  <si>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</si>
  <si>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</si>
  <si>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</si>
  <si>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</si>
  <si>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</si>
  <si>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</si>
  <si>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</si>
  <si>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</si>
  <si>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</si>
  <si>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</si>
  <si>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</si>
  <si>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</si>
  <si>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</si>
  <si>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</si>
  <si>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</si>
  <si>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</si>
  <si>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</si>
  <si>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</si>
  <si>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</si>
  <si>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</si>
  <si>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</si>
  <si>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</si>
  <si>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</si>
  <si>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</si>
  <si>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</si>
  <si>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</si>
  <si>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</si>
  <si>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</si>
  <si>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</si>
  <si>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</si>
  <si>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</si>
  <si>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</si>
  <si>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</si>
  <si>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</si>
  <si>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</si>
  <si>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</si>
  <si>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</si>
  <si>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</si>
  <si>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</si>
  <si>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</si>
  <si>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≈ unsere Annahmen</t>
  </si>
  <si>
    <t>Einordnung</t>
  </si>
  <si>
    <t>Der Markt zahlt heute rund 10.0x EV/EBITDA (trailing). Unser Kursziel entspricht rund 10.9x auf dem heutigen EBITDA (gleiche Basis, direkt mit der eigenen Historie vergleichbar). Das Markt-Niveau liegt im oberen Bereich der eigenen 5J-Spanne (3.3x bis 5.5x). Markt und unser Kursziel implizieren ein nahezu gleiches Multiple. Achtung: das trailing Multiple ist durch ein gedrücktes EBITDA-Jahr (Trog) rechnerisch überhöht, nicht durch einen Bewertungsaufschlag. Auf unserer Ergebnisschätzung für das kommende Jahr (t+1) entspricht das Kursziel rund 9.9x, der Markt 9.1x (anderer Nenner, nicht mit der Historie vergleichbar). Die Peer-Gruppe handelt bei 6.3–188.5x (Median 12.2x,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</si>
  <si>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</si>
  <si>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</si>
  <si>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</si>
  <si>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</si>
  <si>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</si>
  <si>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</si>
  <si>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</si>
  <si>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</si>
  <si>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MBG.DE</t>
  </si>
  <si>
    <t>VOW3.DE</t>
  </si>
  <si>
    <t>STLA</t>
  </si>
  <si>
    <t>TM</t>
  </si>
  <si>
    <t>PAH3.DE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</si>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</sst>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0" fillId="0" borderId="1" xfId="0" applyNumberFormat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"/>
  <sheetViews>
    <sheetView tabSelected="1" workbookViewId="0"/>
  </sheetViews>
  <sheetFormatPr baseColWidth="10" defaultColWidth="9.140625" defaultRowHeight="15" x14ac:dyDescent="0.25"/>
  <cols>
    <col min="1" max="1" width="32" customWidth="1"/>
    <col min="2" max="2" width="18" customWidth="1"/>
    <col min="3" max="3" width="60" customWidth="1"/>
  </cols>
  <sheetData>
    <row r="1" spans="1:2" ht="18.75" customHeight="1" x14ac:dyDescent="0.3">
      <c r="A1" s="1" t="s">
        <v>0</v>
      </c>
    </row>
    <row r="2" spans="1:2" x14ac:dyDescent="0.25">
      <c r="A2" s="2" t="s">
        <v>1</v>
      </c>
    </row>
    <row r="4" spans="1:2" x14ac:dyDescent="0.25">
      <c r="A4" s="3" t="s">
        <v>2</v>
      </c>
    </row>
    <row r="5" spans="1:2" x14ac:dyDescent="0.25">
      <c r="A5" s="4" t="s">
        <v>3</v>
      </c>
      <c r="B5" t="s">
        <v>4</v>
      </c>
    </row>
    <row r="6" spans="1:2" x14ac:dyDescent="0.25">
      <c r="A6" s="4" t="s">
        <v>5</v>
      </c>
      <c r="B6" t="s">
        <v>6</v>
      </c>
    </row>
    <row r="7" spans="1:2" x14ac:dyDescent="0.25">
      <c r="A7" s="4" t="s">
        <v>7</v>
      </c>
      <c r="B7" t="s">
        <v>8</v>
      </c>
    </row>
    <row r="8" spans="1:2" x14ac:dyDescent="0.25">
      <c r="A8" s="4" t="s">
        <v>9</v>
      </c>
      <c r="B8" t="s">
        <v>10</v>
      </c>
    </row>
    <row r="10" spans="1:2" x14ac:dyDescent="0.25">
      <c r="A10" s="3" t="s">
        <v>11</v>
      </c>
    </row>
    <row r="11" spans="1:2" x14ac:dyDescent="0.25">
      <c r="A11" s="4" t="s">
        <v>12</v>
      </c>
      <c r="B11" s="5">
        <v>607.13</v>
      </c>
    </row>
    <row r="12" spans="1:2" x14ac:dyDescent="0.25">
      <c r="A12" s="4" t="s">
        <v>13</v>
      </c>
      <c r="B12" s="5">
        <v>19068</v>
      </c>
    </row>
    <row r="13" spans="1:2" x14ac:dyDescent="0.25">
      <c r="A13" s="4" t="s">
        <v>14</v>
      </c>
      <c r="B13" s="5">
        <v>104111</v>
      </c>
    </row>
    <row r="14" spans="1:2" x14ac:dyDescent="0.25">
      <c r="A14" s="4" t="s">
        <v>15</v>
      </c>
      <c r="B14" s="6">
        <f>B13-B12</f>
        <v>85043</v>
      </c>
    </row>
    <row r="15" spans="1:2" x14ac:dyDescent="0.25">
      <c r="A15" s="4" t="s">
        <v>16</v>
      </c>
      <c r="B15" s="5">
        <v>1934</v>
      </c>
    </row>
    <row r="17" spans="1:3" x14ac:dyDescent="0.25">
      <c r="A17" s="3" t="s">
        <v>17</v>
      </c>
      <c r="C17" s="2" t="s">
        <v>18</v>
      </c>
    </row>
    <row r="18" spans="1:3" x14ac:dyDescent="0.25">
      <c r="A18" s="4" t="s">
        <v>19</v>
      </c>
      <c r="B18" s="7">
        <v>2.5000000000000001E-2</v>
      </c>
      <c r="C18" s="8" t="s">
        <v>20</v>
      </c>
    </row>
    <row r="19" spans="1:3" x14ac:dyDescent="0.25">
      <c r="A19" s="4" t="s">
        <v>21</v>
      </c>
      <c r="B19" s="7">
        <v>5.45E-2</v>
      </c>
      <c r="C19" s="8" t="s">
        <v>22</v>
      </c>
    </row>
    <row r="20" spans="1:3" x14ac:dyDescent="0.25">
      <c r="A20" s="4" t="s">
        <v>23</v>
      </c>
      <c r="B20" s="9">
        <v>1.22</v>
      </c>
      <c r="C20" s="8" t="s">
        <v>24</v>
      </c>
    </row>
    <row r="21" spans="1:3" x14ac:dyDescent="0.25">
      <c r="A21" s="4" t="s">
        <v>25</v>
      </c>
      <c r="B21" s="9">
        <v>0</v>
      </c>
      <c r="C21" s="8" t="s">
        <v>26</v>
      </c>
    </row>
    <row r="22" spans="1:3" x14ac:dyDescent="0.25">
      <c r="A22" s="4" t="s">
        <v>27</v>
      </c>
      <c r="B22" s="7">
        <v>0.29799999999999999</v>
      </c>
      <c r="C22" s="8" t="s">
        <v>28</v>
      </c>
    </row>
    <row r="23" spans="1:3" x14ac:dyDescent="0.25">
      <c r="A23" s="4" t="s">
        <v>29</v>
      </c>
      <c r="B23" s="10">
        <f>(1-0.33)*(B20*(1+(1-B22)*B21))+0.33</f>
        <v>1.1474</v>
      </c>
    </row>
    <row r="24" spans="1:3" x14ac:dyDescent="0.25">
      <c r="A24" s="4" t="s">
        <v>30</v>
      </c>
      <c r="B24" s="7">
        <v>1.5E-3</v>
      </c>
      <c r="C24" s="8" t="s">
        <v>31</v>
      </c>
    </row>
    <row r="25" spans="1:3" x14ac:dyDescent="0.25">
      <c r="A25" s="4" t="s">
        <v>32</v>
      </c>
      <c r="B25" s="7">
        <v>0</v>
      </c>
      <c r="C25" s="8" t="s">
        <v>33</v>
      </c>
    </row>
    <row r="26" spans="1:3" x14ac:dyDescent="0.25">
      <c r="A26" s="4" t="s">
        <v>34</v>
      </c>
      <c r="B26" s="11">
        <f>MAX(B18+B23*B19+B24+B25+B39,MIN(B27,0.08)+0.025)</f>
        <v>8.903330000000001E-2</v>
      </c>
    </row>
    <row r="27" spans="1:3" x14ac:dyDescent="0.25">
      <c r="A27" s="4" t="s">
        <v>35</v>
      </c>
      <c r="B27" s="7">
        <v>3.6999999999999998E-2</v>
      </c>
      <c r="C27" s="8" t="s">
        <v>36</v>
      </c>
    </row>
    <row r="28" spans="1:3" x14ac:dyDescent="0.25">
      <c r="A28" s="4" t="s">
        <v>37</v>
      </c>
      <c r="B28" s="11">
        <f>B27*(1-B22)</f>
        <v>2.5973999999999997E-2</v>
      </c>
    </row>
    <row r="29" spans="1:3" x14ac:dyDescent="0.25">
      <c r="A29" s="4" t="s">
        <v>38</v>
      </c>
      <c r="B29" s="11">
        <f>1/(1+B21)</f>
        <v>1</v>
      </c>
    </row>
    <row r="30" spans="1:3" x14ac:dyDescent="0.25">
      <c r="A30" s="4" t="s">
        <v>39</v>
      </c>
      <c r="B30" s="11">
        <f>B21/(1+B21)</f>
        <v>0</v>
      </c>
    </row>
    <row r="31" spans="1:3" x14ac:dyDescent="0.25">
      <c r="A31" s="4" t="s">
        <v>40</v>
      </c>
      <c r="B31" s="12">
        <f>MAX(B26*B29+B28*B30,B35)</f>
        <v>8.903330000000001E-2</v>
      </c>
    </row>
    <row r="32" spans="1:3" x14ac:dyDescent="0.25">
      <c r="A32" s="3" t="s">
        <v>41</v>
      </c>
    </row>
    <row r="33" spans="1:3" x14ac:dyDescent="0.25">
      <c r="A33" s="4" t="s">
        <v>42</v>
      </c>
      <c r="B33" s="7">
        <v>0.02</v>
      </c>
    </row>
    <row r="34" spans="1:3" x14ac:dyDescent="0.25">
      <c r="A34" s="4" t="s">
        <v>43</v>
      </c>
      <c r="B34" s="7">
        <v>0.01</v>
      </c>
    </row>
    <row r="35" spans="1:3" x14ac:dyDescent="0.25">
      <c r="A35" s="4" t="s">
        <v>44</v>
      </c>
      <c r="B35" s="7">
        <v>0</v>
      </c>
      <c r="C35" s="8" t="s">
        <v>45</v>
      </c>
    </row>
    <row r="36" spans="1:3" x14ac:dyDescent="0.25">
      <c r="A36" s="4" t="s">
        <v>46</v>
      </c>
      <c r="B36" s="7">
        <v>0</v>
      </c>
      <c r="C36" s="8" t="s">
        <v>47</v>
      </c>
    </row>
    <row r="37" spans="1:3" x14ac:dyDescent="0.25">
      <c r="A37" s="4" t="s">
        <v>48</v>
      </c>
      <c r="B37" s="11">
        <f>B18+0.008+0.02*B36</f>
        <v>3.3000000000000002E-2</v>
      </c>
      <c r="C37" s="8" t="s">
        <v>49</v>
      </c>
    </row>
    <row r="38" spans="1:3" x14ac:dyDescent="0.25">
      <c r="A38" s="4" t="s">
        <v>50</v>
      </c>
      <c r="B38" s="11">
        <f>B37*(1-B22)</f>
        <v>2.3165999999999999E-2</v>
      </c>
    </row>
    <row r="39" spans="1:3" x14ac:dyDescent="0.25">
      <c r="A39" s="4" t="s">
        <v>51</v>
      </c>
      <c r="B39" s="7">
        <v>0</v>
      </c>
      <c r="C39" s="8" t="s">
        <v>52</v>
      </c>
    </row>
    <row r="41" spans="1:3" x14ac:dyDescent="0.25">
      <c r="B41">
        <v>62</v>
      </c>
      <c r="C41" t="s">
        <v>53</v>
      </c>
    </row>
    <row r="42" spans="1:3" x14ac:dyDescent="0.25">
      <c r="B42">
        <v>0</v>
      </c>
      <c r="C42" t="s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55</v>
      </c>
    </row>
    <row r="2" spans="1:11" x14ac:dyDescent="0.25">
      <c r="A2" s="2" t="s">
        <v>56</v>
      </c>
    </row>
    <row r="3" spans="1:11" x14ac:dyDescent="0.25">
      <c r="C3" s="13" t="s">
        <v>57</v>
      </c>
      <c r="D3" s="13" t="s">
        <v>58</v>
      </c>
      <c r="E3" s="13" t="s">
        <v>59</v>
      </c>
      <c r="F3" s="13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13" t="s">
        <v>65</v>
      </c>
    </row>
    <row r="4" spans="1:11" x14ac:dyDescent="0.25">
      <c r="A4" s="4" t="s">
        <v>66</v>
      </c>
      <c r="C4" s="14" t="s">
        <v>57</v>
      </c>
      <c r="D4" s="14" t="s">
        <v>58</v>
      </c>
      <c r="E4" s="14"/>
      <c r="F4" s="14"/>
      <c r="G4" s="14"/>
      <c r="H4" s="14"/>
      <c r="I4" s="14"/>
      <c r="J4" s="14"/>
    </row>
    <row r="5" spans="1:11" x14ac:dyDescent="0.25">
      <c r="A5" s="4" t="s">
        <v>67</v>
      </c>
      <c r="C5" s="5">
        <v>117557</v>
      </c>
      <c r="D5" s="5">
        <v>3143</v>
      </c>
      <c r="E5" s="5"/>
      <c r="F5" s="5"/>
      <c r="G5" s="5"/>
      <c r="H5" s="5"/>
      <c r="I5" s="5"/>
      <c r="J5" s="5"/>
    </row>
    <row r="6" spans="1:11" x14ac:dyDescent="0.25">
      <c r="A6" s="4" t="s">
        <v>68</v>
      </c>
      <c r="C6" s="7">
        <v>0.02</v>
      </c>
      <c r="D6" s="7">
        <v>0.02</v>
      </c>
      <c r="E6" s="7"/>
      <c r="F6" s="7"/>
      <c r="G6" s="7"/>
      <c r="H6" s="7"/>
      <c r="I6" s="7"/>
      <c r="J6" s="7"/>
    </row>
    <row r="7" spans="1:11" x14ac:dyDescent="0.25">
      <c r="A7" s="4" t="s">
        <v>69</v>
      </c>
      <c r="C7" s="7">
        <v>5.2999999999999999E-2</v>
      </c>
      <c r="D7" s="7">
        <v>5.6599999999999998E-2</v>
      </c>
      <c r="E7" s="7"/>
      <c r="F7" s="7"/>
      <c r="G7" s="7"/>
      <c r="H7" s="7"/>
      <c r="I7" s="7"/>
      <c r="J7" s="7"/>
    </row>
    <row r="8" spans="1:11" x14ac:dyDescent="0.25">
      <c r="A8" s="4" t="s">
        <v>70</v>
      </c>
      <c r="C8" s="15">
        <v>5.2999999999999999E-2</v>
      </c>
      <c r="D8" s="15">
        <v>5.6599999999999998E-2</v>
      </c>
      <c r="E8" s="15"/>
      <c r="F8" s="15"/>
      <c r="G8" s="15"/>
      <c r="H8" s="15"/>
      <c r="I8" s="15"/>
      <c r="J8" s="15"/>
    </row>
    <row r="9" spans="1:11" x14ac:dyDescent="0.25">
      <c r="A9" s="4" t="s">
        <v>71</v>
      </c>
      <c r="C9" s="7">
        <v>7.0000000000000007E-2</v>
      </c>
      <c r="D9" s="7">
        <v>6.5000000000000002E-2</v>
      </c>
      <c r="E9" s="7"/>
      <c r="F9" s="7"/>
      <c r="G9" s="7"/>
      <c r="H9" s="7"/>
      <c r="I9" s="7"/>
      <c r="J9" s="7"/>
    </row>
    <row r="10" spans="1:11" x14ac:dyDescent="0.25">
      <c r="A10" s="4" t="s">
        <v>72</v>
      </c>
      <c r="C10" s="7">
        <v>8.9300000000000004E-2</v>
      </c>
      <c r="D10" s="7">
        <v>4.65E-2</v>
      </c>
      <c r="E10" s="7"/>
      <c r="F10" s="7"/>
      <c r="G10" s="7"/>
      <c r="H10" s="7"/>
      <c r="I10" s="7"/>
      <c r="J10" s="7"/>
    </row>
    <row r="11" spans="1:11" x14ac:dyDescent="0.25">
      <c r="A11" s="4" t="s">
        <v>73</v>
      </c>
      <c r="C11" s="7">
        <v>7.2400000000000006E-2</v>
      </c>
      <c r="D11" s="7">
        <v>5.0299999999999997E-2</v>
      </c>
      <c r="E11" s="7"/>
      <c r="F11" s="7"/>
      <c r="G11" s="7"/>
      <c r="H11" s="7"/>
      <c r="I11" s="7"/>
      <c r="J11" s="7"/>
    </row>
    <row r="12" spans="1:11" x14ac:dyDescent="0.25">
      <c r="A12" s="4" t="s">
        <v>74</v>
      </c>
      <c r="C12" s="7">
        <v>3.5000000000000003E-2</v>
      </c>
      <c r="D12" s="7">
        <v>0</v>
      </c>
      <c r="E12" s="7"/>
      <c r="F12" s="7"/>
      <c r="G12" s="7"/>
      <c r="H12" s="7"/>
      <c r="I12" s="7"/>
      <c r="J12" s="7"/>
    </row>
    <row r="13" spans="1:11" x14ac:dyDescent="0.25">
      <c r="A13" s="4" t="s">
        <v>75</v>
      </c>
      <c r="C13" s="7">
        <v>0.02</v>
      </c>
      <c r="D13" s="7">
        <v>0.02</v>
      </c>
      <c r="E13" s="7"/>
      <c r="F13" s="7"/>
      <c r="G13" s="7"/>
      <c r="H13" s="7"/>
      <c r="I13" s="7"/>
      <c r="J13" s="7"/>
    </row>
    <row r="14" spans="1:11" x14ac:dyDescent="0.25">
      <c r="A14" s="4" t="s">
        <v>76</v>
      </c>
      <c r="C14" s="9">
        <v>1.22</v>
      </c>
      <c r="D14" s="9">
        <v>1.22</v>
      </c>
      <c r="E14" s="9"/>
      <c r="F14" s="9"/>
      <c r="G14" s="9"/>
      <c r="H14" s="9"/>
      <c r="I14" s="9"/>
      <c r="J14" s="9"/>
    </row>
    <row r="15" spans="1:11" x14ac:dyDescent="0.25">
      <c r="A15" s="4" t="s">
        <v>77</v>
      </c>
      <c r="C15" s="7">
        <v>0</v>
      </c>
      <c r="D15" s="7">
        <v>0</v>
      </c>
      <c r="E15" s="7"/>
      <c r="F15" s="7"/>
      <c r="G15" s="7"/>
      <c r="H15" s="7"/>
      <c r="I15" s="7"/>
      <c r="J15" s="7"/>
    </row>
    <row r="16" spans="1:11" x14ac:dyDescent="0.25">
      <c r="A16" s="4" t="s">
        <v>78</v>
      </c>
      <c r="C16" s="11">
        <f>MAX((MAX(Inputs!B18+((1-0.33)*C14*(1+(1-Inputs!B22)*Inputs!B21)+0.33)*Inputs!B19+IF(ISBLANK(C17),Inputs!B24,C17)+Inputs!B25+Inputs!B39,MIN(Inputs!B27,0.08)+0.025))*Inputs!B29+Inputs!B28*Inputs!B30,C15)</f>
        <v>8.903330000000001E-2</v>
      </c>
      <c r="D16" s="11">
        <f>MAX((MAX(Inputs!B18+((1-0.33)*D14*(1+(1-Inputs!B22)*Inputs!B21)+0.33)*Inputs!B19+IF(ISBLANK(D17),Inputs!B24,D17)+Inputs!B25+Inputs!B39,MIN(Inputs!B27,0.08)+0.025))*Inputs!B29+Inputs!B28*Inputs!B30,D15)</f>
        <v>8.903330000000001E-2</v>
      </c>
      <c r="E16" s="11">
        <f>MAX((MAX(Inputs!B18+((1-0.33)*E14*(1+(1-Inputs!B22)*Inputs!B21)+0.33)*Inputs!B19+IF(ISBLANK(E17),Inputs!B24,E17)+Inputs!B25+Inputs!B39,MIN(Inputs!B27,0.08)+0.025))*Inputs!B29+Inputs!B28*Inputs!B30,E15)</f>
        <v>6.2E-2</v>
      </c>
      <c r="F16" s="11">
        <f>MAX((MAX(Inputs!B18+((1-0.33)*F14*(1+(1-Inputs!B22)*Inputs!B21)+0.33)*Inputs!B19+IF(ISBLANK(F17),Inputs!B24,F17)+Inputs!B25+Inputs!B39,MIN(Inputs!B27,0.08)+0.025))*Inputs!B29+Inputs!B28*Inputs!B30,F15)</f>
        <v>6.2E-2</v>
      </c>
      <c r="G16" s="11">
        <f>MAX((MAX(Inputs!B18+((1-0.33)*G14*(1+(1-Inputs!B22)*Inputs!B21)+0.33)*Inputs!B19+IF(ISBLANK(G17),Inputs!B24,G17)+Inputs!B25+Inputs!B39,MIN(Inputs!B27,0.08)+0.025))*Inputs!B29+Inputs!B28*Inputs!B30,G15)</f>
        <v>6.2E-2</v>
      </c>
      <c r="H16" s="11">
        <f>MAX((MAX(Inputs!B18+((1-0.33)*H14*(1+(1-Inputs!B22)*Inputs!B21)+0.33)*Inputs!B19+IF(ISBLANK(H17),Inputs!B24,H17)+Inputs!B25+Inputs!B39,MIN(Inputs!B27,0.08)+0.025))*Inputs!B29+Inputs!B28*Inputs!B30,H15)</f>
        <v>6.2E-2</v>
      </c>
      <c r="I16" s="11">
        <f>MAX((MAX(Inputs!B18+((1-0.33)*I14*(1+(1-Inputs!B22)*Inputs!B21)+0.33)*Inputs!B19+IF(ISBLANK(I17),Inputs!B24,I17)+Inputs!B25+Inputs!B39,MIN(Inputs!B27,0.08)+0.025))*Inputs!B29+Inputs!B28*Inputs!B30,I15)</f>
        <v>6.2E-2</v>
      </c>
      <c r="J16" s="11">
        <f>MAX((MAX(Inputs!B18+((1-0.33)*J14*(1+(1-Inputs!B22)*Inputs!B21)+0.33)*Inputs!B19+IF(ISBLANK(J17),Inputs!B24,J17)+Inputs!B25+Inputs!B39,MIN(Inputs!B27,0.08)+0.025))*Inputs!B29+Inputs!B28*Inputs!B30,J15)</f>
        <v>6.2E-2</v>
      </c>
    </row>
    <row r="17" spans="1:10" x14ac:dyDescent="0.25">
      <c r="A17" s="16" t="s">
        <v>79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80</v>
      </c>
      <c r="C18" s="18" t="s">
        <v>81</v>
      </c>
      <c r="D18" s="18" t="s">
        <v>82</v>
      </c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83</v>
      </c>
      <c r="C19" s="18" t="s">
        <v>84</v>
      </c>
      <c r="D19" s="18" t="s">
        <v>85</v>
      </c>
      <c r="E19" s="18"/>
      <c r="F19" s="18"/>
      <c r="G19" s="18"/>
      <c r="H19" s="18"/>
      <c r="I19" s="18"/>
      <c r="J19" s="18"/>
    </row>
    <row r="21" spans="1:10" x14ac:dyDescent="0.25">
      <c r="A21" s="4" t="s">
        <v>86</v>
      </c>
      <c r="C21" s="6">
        <f t="shared" ref="C21:J21" si="0">C5*(1+C6)^1</f>
        <v>119908.14</v>
      </c>
      <c r="D21" s="6">
        <f t="shared" si="0"/>
        <v>3205.86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87</v>
      </c>
      <c r="C22" s="6">
        <f t="shared" ref="C22:J22" si="1">C5*(1+C6)^2</f>
        <v>122306.3028</v>
      </c>
      <c r="D22" s="6">
        <f t="shared" si="1"/>
        <v>3269.9771999999998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88</v>
      </c>
      <c r="C23" s="6">
        <f t="shared" ref="C23:J23" si="2">C5*(1+C6)^3</f>
        <v>124752.428856</v>
      </c>
      <c r="D23" s="6">
        <f t="shared" si="2"/>
        <v>3335.3767439999997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89</v>
      </c>
      <c r="C24" s="6">
        <f t="shared" ref="C24:J24" si="3">C5*(1+C6)^4</f>
        <v>127247.47743312</v>
      </c>
      <c r="D24" s="6">
        <f t="shared" si="3"/>
        <v>3402.0842788800001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90</v>
      </c>
      <c r="C25" s="6">
        <f t="shared" ref="C25:J25" si="4">C5*(1+C6)^5</f>
        <v>129792.4269817824</v>
      </c>
      <c r="D25" s="6">
        <f t="shared" si="4"/>
        <v>3470.1259644576003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91</v>
      </c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92</v>
      </c>
      <c r="C27" s="11">
        <f t="shared" ref="C27:J27" si="5">IF(ISBLANK(C9),C7,C7+(C9-C7)*(0)/4)</f>
        <v>5.2999999999999999E-2</v>
      </c>
      <c r="D27" s="11">
        <f t="shared" si="5"/>
        <v>5.6599999999999998E-2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93</v>
      </c>
      <c r="C28" s="11">
        <f t="shared" ref="C28:J28" si="6">IF(ISBLANK(C9),C7,C7+(C9-C7)*(1)/4)</f>
        <v>5.7250000000000002E-2</v>
      </c>
      <c r="D28" s="11">
        <f t="shared" si="6"/>
        <v>5.8700000000000002E-2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94</v>
      </c>
      <c r="C29" s="11">
        <f t="shared" ref="C29:J29" si="7">IF(ISBLANK(C9),C7,C7+(C9-C7)*(2)/4)</f>
        <v>6.1499999999999999E-2</v>
      </c>
      <c r="D29" s="11">
        <f t="shared" si="7"/>
        <v>6.08E-2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95</v>
      </c>
      <c r="C30" s="11">
        <f t="shared" ref="C30:J30" si="8">IF(ISBLANK(C9),C7,C7+(C9-C7)*(3)/4)</f>
        <v>6.5750000000000003E-2</v>
      </c>
      <c r="D30" s="11">
        <f t="shared" si="8"/>
        <v>6.2899999999999998E-2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96</v>
      </c>
      <c r="C31" s="11">
        <f t="shared" ref="C31:J31" si="9">IF(ISBLANK(C9),C7,C7+(C9-C7)*(4)/4)</f>
        <v>7.0000000000000007E-2</v>
      </c>
      <c r="D31" s="11">
        <f t="shared" si="9"/>
        <v>6.5000000000000002E-2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97</v>
      </c>
      <c r="C33" s="6">
        <f t="shared" ref="C33:J37" si="10">C21*C27</f>
        <v>6355.1314199999997</v>
      </c>
      <c r="D33" s="6">
        <f t="shared" si="10"/>
        <v>181.45167599999999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98</v>
      </c>
      <c r="C34" s="6">
        <f t="shared" si="10"/>
        <v>7002.0358353000001</v>
      </c>
      <c r="D34" s="6">
        <f t="shared" si="10"/>
        <v>191.94766164000001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99</v>
      </c>
      <c r="C35" s="6">
        <f t="shared" si="10"/>
        <v>7672.2743746440001</v>
      </c>
      <c r="D35" s="6">
        <f t="shared" si="10"/>
        <v>202.79090603519998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100</v>
      </c>
      <c r="C36" s="6">
        <f t="shared" si="10"/>
        <v>8366.5216412276404</v>
      </c>
      <c r="D36" s="6">
        <f t="shared" si="10"/>
        <v>213.99110114155201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101</v>
      </c>
      <c r="C37" s="6">
        <f t="shared" si="10"/>
        <v>9085.4698887247687</v>
      </c>
      <c r="D37" s="6">
        <f t="shared" si="10"/>
        <v>225.55818768974402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102</v>
      </c>
      <c r="C39" s="6">
        <f>C33*(1-Inputs!B22)</f>
        <v>4461.3022568399992</v>
      </c>
      <c r="D39" s="6">
        <f>D33*(1-Inputs!B22)</f>
        <v>127.37907655199999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103</v>
      </c>
      <c r="C40" s="6">
        <f>C34*(1-Inputs!B22)</f>
        <v>4915.4291563806</v>
      </c>
      <c r="D40" s="6">
        <f>D34*(1-Inputs!B22)</f>
        <v>134.74725847127999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104</v>
      </c>
      <c r="C41" s="6">
        <f>C35*(1-Inputs!B22)</f>
        <v>5385.9366110000874</v>
      </c>
      <c r="D41" s="6">
        <f>D35*(1-Inputs!B22)</f>
        <v>142.35921603671036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105</v>
      </c>
      <c r="C42" s="6">
        <f>C36*(1-Inputs!B22)</f>
        <v>5873.2981921418032</v>
      </c>
      <c r="D42" s="6">
        <f>D36*(1-Inputs!B22)</f>
        <v>150.22175300136951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106</v>
      </c>
      <c r="C43" s="6">
        <f>C37*(1-Inputs!B22)</f>
        <v>6377.9998618847876</v>
      </c>
      <c r="D43" s="6">
        <f>D37*(1-Inputs!B22)</f>
        <v>158.34184775820029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107</v>
      </c>
      <c r="C45" s="6">
        <f t="shared" ref="C45:J45" si="11">C21*IF(ISBLANK(C26),C12,C12+(C26-C12)*(0)/4)</f>
        <v>4196.7849000000006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108</v>
      </c>
      <c r="C46" s="6">
        <f t="shared" ref="C46:J46" si="12">C22*IF(ISBLANK(C26),C12,C12+(C26-C12)*(1)/4)</f>
        <v>4280.7205980000008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109</v>
      </c>
      <c r="C47" s="6">
        <f t="shared" ref="C47:J47" si="13">C23*IF(ISBLANK(C26),C12,C12+(C26-C12)*(2)/4)</f>
        <v>4366.3350099600002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110</v>
      </c>
      <c r="C48" s="6">
        <f t="shared" ref="C48:J48" si="14">C24*IF(ISBLANK(C26),C12,C12+(C26-C12)*(3)/4)</f>
        <v>4453.6617101592001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111</v>
      </c>
      <c r="C49" s="6">
        <f t="shared" ref="C49:J49" si="15">C25*IF(ISBLANK(C26),C12,C12+(C26-C12)*(4)/4)</f>
        <v>4542.7349443623843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112</v>
      </c>
      <c r="C51" s="6">
        <f t="shared" ref="C51:J55" si="16">C39-C45</f>
        <v>264.51735683999868</v>
      </c>
      <c r="D51" s="6">
        <f t="shared" si="16"/>
        <v>127.37907655199999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113</v>
      </c>
      <c r="C52" s="6">
        <f t="shared" si="16"/>
        <v>634.70855838059924</v>
      </c>
      <c r="D52" s="6">
        <f t="shared" si="16"/>
        <v>134.74725847127999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114</v>
      </c>
      <c r="C53" s="6">
        <f t="shared" si="16"/>
        <v>1019.6016010400872</v>
      </c>
      <c r="D53" s="6">
        <f t="shared" si="16"/>
        <v>142.35921603671036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115</v>
      </c>
      <c r="C54" s="6">
        <f t="shared" si="16"/>
        <v>1419.6364819826031</v>
      </c>
      <c r="D54" s="6">
        <f t="shared" si="16"/>
        <v>150.22175300136951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116</v>
      </c>
      <c r="C55" s="6">
        <f t="shared" si="16"/>
        <v>1835.2649175224033</v>
      </c>
      <c r="D55" s="6">
        <f t="shared" si="16"/>
        <v>158.34184775820029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117</v>
      </c>
      <c r="C57" s="6">
        <f t="shared" ref="C57:J57" si="17">C51/((1+C16))</f>
        <v>242.89189030307764</v>
      </c>
      <c r="D57" s="6">
        <f t="shared" si="17"/>
        <v>116.96527236770443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118</v>
      </c>
      <c r="C58" s="6">
        <f t="shared" ref="C58:J58" si="18">C52/((1+C16)*(1+C16+(C104-C16)*1/5))</f>
        <v>536.76432232761726</v>
      </c>
      <c r="D58" s="6">
        <f t="shared" si="18"/>
        <v>113.95390833137328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119</v>
      </c>
      <c r="C59" s="6">
        <f t="shared" ref="C59:J59" si="19">C53/((1+C16)*(1+C16+(C104-C16)*1/5)*(1+C16+(C104-C16)*2/5))</f>
        <v>796.49985589333187</v>
      </c>
      <c r="D59" s="6">
        <f t="shared" si="19"/>
        <v>111.20921636711851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120</v>
      </c>
      <c r="C60" s="6">
        <f t="shared" ref="C60:J60" si="20">C54/((1+C16)*(1+C16+(C104-C16)*1/5)*(1+C16+(C104-C16)*2/5)*(1+C16+(C104-C16)*3/5))</f>
        <v>1027.4899549780471</v>
      </c>
      <c r="D60" s="6">
        <f t="shared" si="20"/>
        <v>108.72596202412328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121</v>
      </c>
      <c r="C61" s="6">
        <f t="shared" ref="C61:J61" si="21">C55/((1+C16)*(1+C16+(C104-C16)*1/5)*(1+C16+(C104-C16)*2/5)*(1+C16+(C104-C16)*3/5)*(1+C16+(C104-C16)*4/5))</f>
        <v>1234.3765730590953</v>
      </c>
      <c r="D61" s="6">
        <f t="shared" si="21"/>
        <v>106.4987760303691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122</v>
      </c>
    </row>
    <row r="63" spans="1:10" x14ac:dyDescent="0.25">
      <c r="A63" s="4" t="s">
        <v>123</v>
      </c>
      <c r="C63" s="6">
        <f t="shared" ref="C63:J63" si="22">C25*(1+(C6+(C13-C6)*1/5))</f>
        <v>132388.27552141805</v>
      </c>
      <c r="D63" s="6">
        <f t="shared" si="22"/>
        <v>3539.5284837467525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124</v>
      </c>
      <c r="C64" s="6">
        <f t="shared" ref="C64:J64" si="23">C63*(1+(C6+(C13-C6)*2/5))</f>
        <v>135036.04103184643</v>
      </c>
      <c r="D64" s="6">
        <f t="shared" si="23"/>
        <v>3610.3190534216874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125</v>
      </c>
      <c r="C65" s="6">
        <f t="shared" ref="C65:J65" si="24">C64*(1+(C6+(C13-C6)*3/5))</f>
        <v>137736.76185248335</v>
      </c>
      <c r="D65" s="6">
        <f t="shared" si="24"/>
        <v>3682.5254344901214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126</v>
      </c>
      <c r="C66" s="6">
        <f t="shared" ref="C66:J66" si="25">C65*(1+(C6+(C13-C6)*4/5))</f>
        <v>140491.49708953302</v>
      </c>
      <c r="D66" s="6">
        <f t="shared" si="25"/>
        <v>3756.1759431799237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127</v>
      </c>
      <c r="C67" s="6">
        <f t="shared" ref="C67:J67" si="26">C66*(1+(C6+(C13-C6)*5/5))</f>
        <v>143301.32703132369</v>
      </c>
      <c r="D67" s="6">
        <f t="shared" si="26"/>
        <v>3831.2994620435225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128</v>
      </c>
      <c r="C69" s="11">
        <f t="shared" ref="C69:J69" si="27">IF(ISBLANK(C9),C7,C9)</f>
        <v>7.0000000000000007E-2</v>
      </c>
      <c r="D69" s="11">
        <f t="shared" si="27"/>
        <v>6.5000000000000002E-2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129</v>
      </c>
      <c r="C70" s="11">
        <f t="shared" ref="C70:J70" si="28">IF(ISBLANK(C9),C7,C9)</f>
        <v>7.0000000000000007E-2</v>
      </c>
      <c r="D70" s="11">
        <f t="shared" si="28"/>
        <v>6.5000000000000002E-2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130</v>
      </c>
      <c r="C71" s="11">
        <f t="shared" ref="C71:J71" si="29">IF(ISBLANK(C9),C7,C9)</f>
        <v>7.0000000000000007E-2</v>
      </c>
      <c r="D71" s="11">
        <f t="shared" si="29"/>
        <v>6.5000000000000002E-2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131</v>
      </c>
      <c r="C72" s="11">
        <f t="shared" ref="C72:J72" si="30">IF(ISBLANK(C9),C7,C9)</f>
        <v>7.0000000000000007E-2</v>
      </c>
      <c r="D72" s="11">
        <f t="shared" si="30"/>
        <v>6.5000000000000002E-2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132</v>
      </c>
      <c r="C73" s="11">
        <f t="shared" ref="C73:J73" si="31">IF(ISBLANK(C9),C7,C9)</f>
        <v>7.0000000000000007E-2</v>
      </c>
      <c r="D73" s="11">
        <f t="shared" si="31"/>
        <v>6.5000000000000002E-2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133</v>
      </c>
      <c r="C75" s="6">
        <f t="shared" ref="C75:J79" si="32">C63*C69</f>
        <v>9267.179286499264</v>
      </c>
      <c r="D75" s="6">
        <f t="shared" si="32"/>
        <v>230.06935144353892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134</v>
      </c>
      <c r="C76" s="6">
        <f t="shared" si="32"/>
        <v>9452.5228722292504</v>
      </c>
      <c r="D76" s="6">
        <f t="shared" si="32"/>
        <v>234.67073847240968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135</v>
      </c>
      <c r="C77" s="6">
        <f t="shared" si="32"/>
        <v>9641.5733296738363</v>
      </c>
      <c r="D77" s="6">
        <f t="shared" si="32"/>
        <v>239.36415324185791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136</v>
      </c>
      <c r="C78" s="6">
        <f t="shared" si="32"/>
        <v>9834.4047962673121</v>
      </c>
      <c r="D78" s="6">
        <f t="shared" si="32"/>
        <v>244.15143630669505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137</v>
      </c>
      <c r="C79" s="6">
        <f t="shared" si="32"/>
        <v>10031.092892192659</v>
      </c>
      <c r="D79" s="6">
        <f t="shared" si="32"/>
        <v>249.03446503282896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138</v>
      </c>
      <c r="C81" s="6">
        <f>C75*(1-Inputs!B22)</f>
        <v>6505.5598591224825</v>
      </c>
      <c r="D81" s="6">
        <f>D75*(1-Inputs!B22)</f>
        <v>161.50868471336432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139</v>
      </c>
      <c r="C82" s="6">
        <f>C76*(1-Inputs!B22)</f>
        <v>6635.6710563049337</v>
      </c>
      <c r="D82" s="6">
        <f>D76*(1-Inputs!B22)</f>
        <v>164.7388584076316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140</v>
      </c>
      <c r="C83" s="6">
        <f>C77*(1-Inputs!B22)</f>
        <v>6768.3844774310328</v>
      </c>
      <c r="D83" s="6">
        <f>D77*(1-Inputs!B22)</f>
        <v>168.03363557578425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141</v>
      </c>
      <c r="C84" s="6">
        <f>C78*(1-Inputs!B22)</f>
        <v>6903.7521669796524</v>
      </c>
      <c r="D84" s="6">
        <f>D78*(1-Inputs!B22)</f>
        <v>171.39430828729991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142</v>
      </c>
      <c r="C85" s="6">
        <f>C79*(1-Inputs!B22)</f>
        <v>7041.8272103192458</v>
      </c>
      <c r="D85" s="6">
        <f>D79*(1-Inputs!B22)</f>
        <v>174.82219445304591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143</v>
      </c>
      <c r="C87" s="6">
        <f t="shared" ref="C87:J87" si="33">C63*MAX(IF(ISBLANK(C26),C12,C26),0)</f>
        <v>4633.589643249632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144</v>
      </c>
      <c r="C88" s="6">
        <f t="shared" ref="C88:J88" si="34">C64*MAX(IF(ISBLANK(C26),C12,C26),0)</f>
        <v>4726.2614361146252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145</v>
      </c>
      <c r="C89" s="6">
        <f t="shared" ref="C89:J89" si="35">C65*MAX(IF(ISBLANK(C26),C12,C26),0)</f>
        <v>4820.7866648369181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146</v>
      </c>
      <c r="C90" s="6">
        <f t="shared" ref="C90:J90" si="36">C66*MAX(IF(ISBLANK(C26),C12,C26),0)</f>
        <v>4917.2023981336561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147</v>
      </c>
      <c r="C91" s="6">
        <f t="shared" ref="C91:J91" si="37">C67*MAX(IF(ISBLANK(C26),C12,C26),0)</f>
        <v>5015.5464460963294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148</v>
      </c>
      <c r="C93" s="6">
        <f t="shared" ref="C93:J97" si="38">C81-C87</f>
        <v>1871.9702158728505</v>
      </c>
      <c r="D93" s="6">
        <f t="shared" si="38"/>
        <v>161.50868471336432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149</v>
      </c>
      <c r="C94" s="6">
        <f t="shared" si="38"/>
        <v>1909.4096201903085</v>
      </c>
      <c r="D94" s="6">
        <f t="shared" si="38"/>
        <v>164.7388584076316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150</v>
      </c>
      <c r="C95" s="6">
        <f t="shared" si="38"/>
        <v>1947.5978125941147</v>
      </c>
      <c r="D95" s="6">
        <f t="shared" si="38"/>
        <v>168.03363557578425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151</v>
      </c>
      <c r="C96" s="6">
        <f t="shared" si="38"/>
        <v>1986.5497688459964</v>
      </c>
      <c r="D96" s="6">
        <f t="shared" si="38"/>
        <v>171.39430828729991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152</v>
      </c>
      <c r="C97" s="6">
        <f t="shared" si="38"/>
        <v>2026.2807642229163</v>
      </c>
      <c r="D97" s="6">
        <f t="shared" si="38"/>
        <v>174.82219445304591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153</v>
      </c>
      <c r="C99" s="6">
        <f t="shared" ref="C99:J99" si="39">C93/(((1+C16)*(1+C16+(C104-C16)*1/5)*(1+C16+(C104-C16)*2/5)*(1+C16+(C104-C16)*3/5)*(1+C16+(C104-C16)*4/5))*(1+C104)^1)</f>
        <v>1173.5550685463932</v>
      </c>
      <c r="D99" s="6">
        <f t="shared" si="39"/>
        <v>101.25125600422699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154</v>
      </c>
      <c r="C100" s="6">
        <f t="shared" ref="C100:J100" si="40">C94/(((1+C16)*(1+C16+(C104-C16)*1/5)*(1+C16+(C104-C16)*2/5)*(1+C16+(C104-C16)*3/5)*(1+C16+(C104-C16)*4/5))*(1+C104)^2)</f>
        <v>1115.7304253578022</v>
      </c>
      <c r="D100" s="6">
        <f t="shared" si="40"/>
        <v>96.262297319831262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155</v>
      </c>
      <c r="C101" s="6">
        <f t="shared" ref="C101:J101" si="41">C95/(((1+C16)*(1+C16+(C104-C16)*1/5)*(1+C16+(C104-C16)*2/5)*(1+C16+(C104-C16)*3/5)*(1+C16+(C104-C16)*4/5))*(1+C104)^3)</f>
        <v>1060.754978981108</v>
      </c>
      <c r="D101" s="6">
        <f t="shared" si="41"/>
        <v>91.519159870024183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156</v>
      </c>
      <c r="C102" s="6">
        <f t="shared" ref="C102:J102" si="42">C96/(((1+C16)*(1+C16+(C104-C16)*1/5)*(1+C16+(C104-C16)*2/5)*(1+C16+(C104-C16)*3/5)*(1+C16+(C104-C16)*4/5))*(1+C104)^4)</f>
        <v>1008.4883407856972</v>
      </c>
      <c r="D102" s="6">
        <f t="shared" si="42"/>
        <v>87.009731291645878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157</v>
      </c>
      <c r="C103" s="6">
        <f t="shared" ref="C103:J103" si="43">C97/(((1+C16)*(1+C16+(C104-C16)*1/5)*(1+C16+(C104-C16)*2/5)*(1+C16+(C104-C16)*3/5)*(1+C16+(C104-C16)*4/5))*(1+C104)^5)</f>
        <v>958.79703951764589</v>
      </c>
      <c r="D103" s="6">
        <f t="shared" si="43"/>
        <v>82.722496034670172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158</v>
      </c>
      <c r="C104" s="11">
        <f>MAX((Inputs!B18+((1+(1-Inputs!B22)*(Inputs!B36/(1-Inputs!B36)))/(1+(1-Inputs!B22)*0.25))*Inputs!B19+IF(ISBLANK(C17),Inputs!B24,C17)+Inputs!B25+Inputs!B39)*(1-Inputs!B36)+Inputs!B38*Inputs!B36,C15)</f>
        <v>7.2863249680986814E-2</v>
      </c>
      <c r="D104" s="11">
        <f>MAX((Inputs!B18+((1+(1-Inputs!B22)*(Inputs!B36/(1-Inputs!B36)))/(1+(1-Inputs!B22)*0.25))*Inputs!B19+IF(ISBLANK(D17),Inputs!B24,D17)+Inputs!B25+Inputs!B39)*(1-Inputs!B36)+Inputs!B38*Inputs!B36,D15)</f>
        <v>7.2863249680986814E-2</v>
      </c>
      <c r="E104" s="11">
        <f>MAX((Inputs!B18+((1+(1-Inputs!B22)*(Inputs!B36/(1-Inputs!B36)))/(1+(1-Inputs!B22)*0.25))*Inputs!B19+IF(ISBLANK(E17),Inputs!B24,E17)+Inputs!B25+Inputs!B39)*(1-Inputs!B36)+Inputs!B38*Inputs!B36,E15)</f>
        <v>7.2863249680986814E-2</v>
      </c>
      <c r="F104" s="11">
        <f>MAX((Inputs!B18+((1+(1-Inputs!B22)*(Inputs!B36/(1-Inputs!B36)))/(1+(1-Inputs!B22)*0.25))*Inputs!B19+IF(ISBLANK(F17),Inputs!B24,F17)+Inputs!B25+Inputs!B39)*(1-Inputs!B36)+Inputs!B38*Inputs!B36,F15)</f>
        <v>7.2863249680986814E-2</v>
      </c>
      <c r="G104" s="11">
        <f>MAX((Inputs!B18+((1+(1-Inputs!B22)*(Inputs!B36/(1-Inputs!B36)))/(1+(1-Inputs!B22)*0.25))*Inputs!B19+IF(ISBLANK(G17),Inputs!B24,G17)+Inputs!B25+Inputs!B39)*(1-Inputs!B36)+Inputs!B38*Inputs!B36,G15)</f>
        <v>7.2863249680986814E-2</v>
      </c>
      <c r="H104" s="11">
        <f>MAX((Inputs!B18+((1+(1-Inputs!B22)*(Inputs!B36/(1-Inputs!B36)))/(1+(1-Inputs!B22)*0.25))*Inputs!B19+IF(ISBLANK(H17),Inputs!B24,H17)+Inputs!B25+Inputs!B39)*(1-Inputs!B36)+Inputs!B38*Inputs!B36,H15)</f>
        <v>7.2863249680986814E-2</v>
      </c>
      <c r="I104" s="11">
        <f>MAX((Inputs!B18+((1+(1-Inputs!B22)*(Inputs!B36/(1-Inputs!B36)))/(1+(1-Inputs!B22)*0.25))*Inputs!B19+IF(ISBLANK(I17),Inputs!B24,I17)+Inputs!B25+Inputs!B39)*(1-Inputs!B36)+Inputs!B38*Inputs!B36,I15)</f>
        <v>7.2863249680986814E-2</v>
      </c>
      <c r="J104" s="11">
        <f>MAX((Inputs!B18+((1+(1-Inputs!B22)*(Inputs!B36/(1-Inputs!B36)))/(1+(1-Inputs!B22)*0.25))*Inputs!B19+IF(ISBLANK(J17),Inputs!B24,J17)+Inputs!B25+Inputs!B39)*(1-Inputs!B36)+Inputs!B38*Inputs!B36,J15)</f>
        <v>7.2863249680986814E-2</v>
      </c>
    </row>
    <row r="105" spans="1:11" x14ac:dyDescent="0.25">
      <c r="A105" s="4" t="s">
        <v>159</v>
      </c>
      <c r="C105" s="6">
        <f t="shared" ref="C105:J105" si="44">SUM(C57:C61,C99:C103)</f>
        <v>9155.3484497498157</v>
      </c>
      <c r="D105" s="6">
        <f t="shared" si="44"/>
        <v>1016.118075641087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160</v>
      </c>
      <c r="C106" s="6">
        <f t="shared" ref="C106:J106" si="45">IF(C5=0,0,C97*(1+C13)/(C104-C13))</f>
        <v>39097.225236433733</v>
      </c>
      <c r="D106" s="6">
        <f t="shared" si="45"/>
        <v>3373.2061388243073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161</v>
      </c>
      <c r="C107" s="6">
        <f t="shared" ref="C107:J107" si="46">C106/(((1+C16)*(1+C16+(C104-C16)*1/5)*(1+C16+(C104-C16)*2/5)*(1+C16+(C104-C16)*3/5)*(1+C16+(C104-C16)*4/5))*(1+C104)^5)</f>
        <v>18500.054124741862</v>
      </c>
      <c r="D107" s="6">
        <f t="shared" si="46"/>
        <v>1596.1361903506133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162</v>
      </c>
      <c r="C109" s="20">
        <f t="shared" ref="C109:J109" si="47">C105+C107</f>
        <v>27655.40257449168</v>
      </c>
      <c r="D109" s="20">
        <f t="shared" si="47"/>
        <v>2612.2542659917003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30267.656840483382</v>
      </c>
    </row>
    <row r="110" spans="1:11" x14ac:dyDescent="0.25">
      <c r="A110" s="4" t="s">
        <v>163</v>
      </c>
      <c r="K110" s="11">
        <f>IFERROR(SUMPRODUCT(C109:J109,C16:J16)/SUM(C109:J109),0)</f>
        <v>8.903330000000001E-2</v>
      </c>
    </row>
    <row r="111" spans="1:11" x14ac:dyDescent="0.25">
      <c r="A111" s="4" t="s">
        <v>164</v>
      </c>
      <c r="K111" s="5">
        <v>-13026</v>
      </c>
    </row>
    <row r="112" spans="1:11" x14ac:dyDescent="0.25">
      <c r="A112" s="4" t="s">
        <v>165</v>
      </c>
      <c r="K112" s="5">
        <v>1934</v>
      </c>
    </row>
    <row r="113" spans="1:11" x14ac:dyDescent="0.25">
      <c r="A113" s="4" t="s">
        <v>166</v>
      </c>
      <c r="K113" s="5">
        <v>0</v>
      </c>
    </row>
    <row r="114" spans="1:11" x14ac:dyDescent="0.25">
      <c r="A114" s="4" t="s">
        <v>167</v>
      </c>
      <c r="K114" s="5">
        <v>0</v>
      </c>
    </row>
    <row r="115" spans="1:11" x14ac:dyDescent="0.25">
      <c r="A115" s="4" t="s">
        <v>168</v>
      </c>
      <c r="K115" s="5">
        <v>16744</v>
      </c>
    </row>
    <row r="116" spans="1:11" x14ac:dyDescent="0.25">
      <c r="A116" s="4" t="s">
        <v>169</v>
      </c>
      <c r="K116" s="5">
        <v>0</v>
      </c>
    </row>
    <row r="117" spans="1:11" x14ac:dyDescent="0.25">
      <c r="A117" s="4" t="s">
        <v>170</v>
      </c>
      <c r="K117" s="5">
        <v>0</v>
      </c>
    </row>
    <row r="118" spans="1:11" x14ac:dyDescent="0.25">
      <c r="A118" s="4" t="s">
        <v>171</v>
      </c>
      <c r="K118" s="5">
        <v>-13026</v>
      </c>
    </row>
    <row r="119" spans="1:11" x14ac:dyDescent="0.25">
      <c r="A119" s="4" t="s">
        <v>172</v>
      </c>
      <c r="K119" s="20">
        <f>K109+K113+K114+K115+K116+K117+K118+K121-K111-K112</f>
        <v>45015.656840483382</v>
      </c>
    </row>
    <row r="120" spans="1:11" x14ac:dyDescent="0.25">
      <c r="A120" s="4" t="s">
        <v>173</v>
      </c>
      <c r="K120" s="6">
        <f>Inputs!B11</f>
        <v>607.13</v>
      </c>
    </row>
    <row r="121" spans="1:11" x14ac:dyDescent="0.25">
      <c r="A121" s="4" t="s">
        <v>174</v>
      </c>
      <c r="K121" s="21">
        <f>-(Inputs!B41+Inputs!B42)</f>
        <v>-62</v>
      </c>
    </row>
    <row r="122" spans="1:11" ht="15.75" customHeight="1" x14ac:dyDescent="0.25">
      <c r="A122" s="4" t="s">
        <v>175</v>
      </c>
      <c r="K122" s="22">
        <f>K119/K120</f>
        <v>74.145004925606344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176</v>
      </c>
    </row>
    <row r="2" spans="1:11" x14ac:dyDescent="0.25">
      <c r="A2" s="2" t="s">
        <v>56</v>
      </c>
    </row>
    <row r="3" spans="1:11" x14ac:dyDescent="0.25">
      <c r="C3" s="13" t="s">
        <v>57</v>
      </c>
      <c r="D3" s="13" t="s">
        <v>58</v>
      </c>
      <c r="E3" s="13" t="s">
        <v>59</v>
      </c>
      <c r="F3" s="13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13" t="s">
        <v>65</v>
      </c>
    </row>
    <row r="4" spans="1:11" x14ac:dyDescent="0.25">
      <c r="A4" s="4" t="s">
        <v>66</v>
      </c>
      <c r="C4" s="14" t="s">
        <v>57</v>
      </c>
      <c r="D4" s="14" t="s">
        <v>58</v>
      </c>
      <c r="E4" s="14"/>
      <c r="F4" s="14"/>
      <c r="G4" s="14"/>
      <c r="H4" s="14"/>
      <c r="I4" s="14"/>
      <c r="J4" s="14"/>
    </row>
    <row r="5" spans="1:11" x14ac:dyDescent="0.25">
      <c r="A5" s="4" t="s">
        <v>67</v>
      </c>
      <c r="C5" s="5">
        <v>117557</v>
      </c>
      <c r="D5" s="5">
        <v>3143</v>
      </c>
      <c r="E5" s="5"/>
      <c r="F5" s="5"/>
      <c r="G5" s="5"/>
      <c r="H5" s="5"/>
      <c r="I5" s="5"/>
      <c r="J5" s="5"/>
    </row>
    <row r="6" spans="1:11" x14ac:dyDescent="0.25">
      <c r="A6" s="4" t="s">
        <v>68</v>
      </c>
      <c r="C6" s="7">
        <v>0.04</v>
      </c>
      <c r="D6" s="7">
        <v>3.4885434850964792E-2</v>
      </c>
      <c r="E6" s="7"/>
      <c r="F6" s="7"/>
      <c r="G6" s="7"/>
      <c r="H6" s="7"/>
      <c r="I6" s="7"/>
      <c r="J6" s="7"/>
    </row>
    <row r="7" spans="1:11" x14ac:dyDescent="0.25">
      <c r="A7" s="4" t="s">
        <v>69</v>
      </c>
      <c r="C7" s="7">
        <v>8.2770869701929567E-2</v>
      </c>
      <c r="D7" s="7">
        <v>8.6370869701929573E-2</v>
      </c>
      <c r="E7" s="7"/>
      <c r="F7" s="7"/>
      <c r="G7" s="7"/>
      <c r="H7" s="7"/>
      <c r="I7" s="7"/>
      <c r="J7" s="7"/>
    </row>
    <row r="8" spans="1:11" x14ac:dyDescent="0.25">
      <c r="A8" s="4" t="s">
        <v>70</v>
      </c>
      <c r="C8" s="15">
        <v>5.2999999999999999E-2</v>
      </c>
      <c r="D8" s="15">
        <v>5.6599999999999998E-2</v>
      </c>
      <c r="E8" s="15"/>
      <c r="F8" s="15"/>
      <c r="G8" s="15"/>
      <c r="H8" s="15"/>
      <c r="I8" s="15"/>
      <c r="J8" s="15"/>
    </row>
    <row r="9" spans="1:11" x14ac:dyDescent="0.25">
      <c r="A9" s="4" t="s">
        <v>71</v>
      </c>
      <c r="C9" s="7">
        <v>9.0000000000000011E-2</v>
      </c>
      <c r="D9" s="7">
        <v>9.4770869701929578E-2</v>
      </c>
      <c r="E9" s="7"/>
      <c r="F9" s="7"/>
      <c r="G9" s="7"/>
      <c r="H9" s="7"/>
      <c r="I9" s="7"/>
      <c r="J9" s="7"/>
    </row>
    <row r="10" spans="1:11" x14ac:dyDescent="0.25">
      <c r="A10" s="4" t="s">
        <v>72</v>
      </c>
      <c r="C10" s="7">
        <v>8.9300000000000004E-2</v>
      </c>
      <c r="D10" s="7">
        <v>4.65E-2</v>
      </c>
      <c r="E10" s="7"/>
      <c r="F10" s="7"/>
      <c r="G10" s="7"/>
      <c r="H10" s="7"/>
      <c r="I10" s="7"/>
      <c r="J10" s="7"/>
    </row>
    <row r="11" spans="1:11" x14ac:dyDescent="0.25">
      <c r="A11" s="4" t="s">
        <v>73</v>
      </c>
      <c r="C11" s="7">
        <v>7.2400000000000006E-2</v>
      </c>
      <c r="D11" s="7">
        <v>5.0299999999999997E-2</v>
      </c>
      <c r="E11" s="7"/>
      <c r="F11" s="7"/>
      <c r="G11" s="7"/>
      <c r="H11" s="7"/>
      <c r="I11" s="7"/>
      <c r="J11" s="7"/>
    </row>
    <row r="12" spans="1:11" x14ac:dyDescent="0.25">
      <c r="A12" s="4" t="s">
        <v>74</v>
      </c>
      <c r="C12" s="7">
        <v>3.5000000000000003E-2</v>
      </c>
      <c r="D12" s="7">
        <v>0</v>
      </c>
      <c r="E12" s="7"/>
      <c r="F12" s="7"/>
      <c r="G12" s="7"/>
      <c r="H12" s="7"/>
      <c r="I12" s="7"/>
      <c r="J12" s="7"/>
    </row>
    <row r="13" spans="1:11" x14ac:dyDescent="0.25">
      <c r="A13" s="4" t="s">
        <v>75</v>
      </c>
      <c r="C13" s="7">
        <v>2.496181161698826E-2</v>
      </c>
      <c r="D13" s="7">
        <v>2.496181161698826E-2</v>
      </c>
      <c r="E13" s="7"/>
      <c r="F13" s="7"/>
      <c r="G13" s="7"/>
      <c r="H13" s="7"/>
      <c r="I13" s="7"/>
      <c r="J13" s="7"/>
    </row>
    <row r="14" spans="1:11" x14ac:dyDescent="0.25">
      <c r="A14" s="4" t="s">
        <v>76</v>
      </c>
      <c r="C14" s="9">
        <v>1.22</v>
      </c>
      <c r="D14" s="9">
        <v>1.22</v>
      </c>
      <c r="E14" s="9"/>
      <c r="F14" s="9"/>
      <c r="G14" s="9"/>
      <c r="H14" s="9"/>
      <c r="I14" s="9"/>
      <c r="J14" s="9"/>
    </row>
    <row r="15" spans="1:11" x14ac:dyDescent="0.25">
      <c r="A15" s="4" t="s">
        <v>77</v>
      </c>
      <c r="C15" s="7">
        <v>0</v>
      </c>
      <c r="D15" s="7">
        <v>0</v>
      </c>
      <c r="E15" s="7"/>
      <c r="F15" s="7"/>
      <c r="G15" s="7"/>
      <c r="H15" s="7"/>
      <c r="I15" s="7"/>
      <c r="J15" s="7"/>
    </row>
    <row r="16" spans="1:11" x14ac:dyDescent="0.25">
      <c r="A16" s="4" t="s">
        <v>78</v>
      </c>
      <c r="C16" s="11">
        <f>MAX((MAX(Inputs!B18+((1-0.33)*C14*(1+(1-Inputs!B22)*Inputs!B21)+0.33)*Inputs!B19+IF(ISBLANK(C17),Inputs!B24,C17)+Inputs!B25+Inputs!B39,MIN(Inputs!B27,0.08)+0.025))*Inputs!B29+Inputs!B28*Inputs!B30,C15)</f>
        <v>8.903330000000001E-2</v>
      </c>
      <c r="D16" s="11">
        <f>MAX((MAX(Inputs!B18+((1-0.33)*D14*(1+(1-Inputs!B22)*Inputs!B21)+0.33)*Inputs!B19+IF(ISBLANK(D17),Inputs!B24,D17)+Inputs!B25+Inputs!B39,MIN(Inputs!B27,0.08)+0.025))*Inputs!B29+Inputs!B28*Inputs!B30,D15)</f>
        <v>8.903330000000001E-2</v>
      </c>
      <c r="E16" s="11">
        <f>MAX((MAX(Inputs!B18+((1-0.33)*E14*(1+(1-Inputs!B22)*Inputs!B21)+0.33)*Inputs!B19+IF(ISBLANK(E17),Inputs!B24,E17)+Inputs!B25+Inputs!B39,MIN(Inputs!B27,0.08)+0.025))*Inputs!B29+Inputs!B28*Inputs!B30,E15)</f>
        <v>6.2E-2</v>
      </c>
      <c r="F16" s="11">
        <f>MAX((MAX(Inputs!B18+((1-0.33)*F14*(1+(1-Inputs!B22)*Inputs!B21)+0.33)*Inputs!B19+IF(ISBLANK(F17),Inputs!B24,F17)+Inputs!B25+Inputs!B39,MIN(Inputs!B27,0.08)+0.025))*Inputs!B29+Inputs!B28*Inputs!B30,F15)</f>
        <v>6.2E-2</v>
      </c>
      <c r="G16" s="11">
        <f>MAX((MAX(Inputs!B18+((1-0.33)*G14*(1+(1-Inputs!B22)*Inputs!B21)+0.33)*Inputs!B19+IF(ISBLANK(G17),Inputs!B24,G17)+Inputs!B25+Inputs!B39,MIN(Inputs!B27,0.08)+0.025))*Inputs!B29+Inputs!B28*Inputs!B30,G15)</f>
        <v>6.2E-2</v>
      </c>
      <c r="H16" s="11">
        <f>MAX((MAX(Inputs!B18+((1-0.33)*H14*(1+(1-Inputs!B22)*Inputs!B21)+0.33)*Inputs!B19+IF(ISBLANK(H17),Inputs!B24,H17)+Inputs!B25+Inputs!B39,MIN(Inputs!B27,0.08)+0.025))*Inputs!B29+Inputs!B28*Inputs!B30,H15)</f>
        <v>6.2E-2</v>
      </c>
      <c r="I16" s="11">
        <f>MAX((MAX(Inputs!B18+((1-0.33)*I14*(1+(1-Inputs!B22)*Inputs!B21)+0.33)*Inputs!B19+IF(ISBLANK(I17),Inputs!B24,I17)+Inputs!B25+Inputs!B39,MIN(Inputs!B27,0.08)+0.025))*Inputs!B29+Inputs!B28*Inputs!B30,I15)</f>
        <v>6.2E-2</v>
      </c>
      <c r="J16" s="11">
        <f>MAX((MAX(Inputs!B18+((1-0.33)*J14*(1+(1-Inputs!B22)*Inputs!B21)+0.33)*Inputs!B19+IF(ISBLANK(J17),Inputs!B24,J17)+Inputs!B25+Inputs!B39,MIN(Inputs!B27,0.08)+0.025))*Inputs!B29+Inputs!B28*Inputs!B30,J15)</f>
        <v>6.2E-2</v>
      </c>
    </row>
    <row r="17" spans="1:10" x14ac:dyDescent="0.25">
      <c r="A17" s="16" t="s">
        <v>79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80</v>
      </c>
      <c r="C18" s="18" t="s">
        <v>177</v>
      </c>
      <c r="D18" s="18" t="s">
        <v>178</v>
      </c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83</v>
      </c>
      <c r="C19" s="18" t="s">
        <v>179</v>
      </c>
      <c r="D19" s="18" t="s">
        <v>180</v>
      </c>
      <c r="E19" s="18"/>
      <c r="F19" s="18"/>
      <c r="G19" s="18"/>
      <c r="H19" s="18"/>
      <c r="I19" s="18"/>
      <c r="J19" s="18"/>
    </row>
    <row r="21" spans="1:10" x14ac:dyDescent="0.25">
      <c r="A21" s="4" t="s">
        <v>86</v>
      </c>
      <c r="C21" s="6">
        <f t="shared" ref="C21:J21" si="0">C5*(1+C6)^1</f>
        <v>122259.28</v>
      </c>
      <c r="D21" s="6">
        <f t="shared" si="0"/>
        <v>3252.6449217365825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87</v>
      </c>
      <c r="C22" s="6">
        <f t="shared" ref="C22:J22" si="1">C5*(1+C6)^2</f>
        <v>127149.65120000001</v>
      </c>
      <c r="D22" s="6">
        <f t="shared" si="1"/>
        <v>3366.1148542471456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88</v>
      </c>
      <c r="C23" s="6">
        <f t="shared" ref="C23:J23" si="2">C5*(1+C6)^3</f>
        <v>132235.63724800001</v>
      </c>
      <c r="D23" s="6">
        <f t="shared" si="2"/>
        <v>3483.5432346958487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89</v>
      </c>
      <c r="C24" s="6">
        <f t="shared" ref="C24:J24" si="3">C5*(1+C6)^4</f>
        <v>137525.06273792003</v>
      </c>
      <c r="D24" s="6">
        <f t="shared" si="3"/>
        <v>3605.0681552603505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90</v>
      </c>
      <c r="C25" s="6">
        <f t="shared" ref="C25:J25" si="4">C5*(1+C6)^5</f>
        <v>143026.06524743684</v>
      </c>
      <c r="D25" s="6">
        <f t="shared" si="4"/>
        <v>3730.8325255239733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91</v>
      </c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92</v>
      </c>
      <c r="C27" s="11">
        <f t="shared" ref="C27:J27" si="5">IF(ISBLANK(C9),C7,C7+(C9-C7)*(0)/4)</f>
        <v>8.2770869701929567E-2</v>
      </c>
      <c r="D27" s="11">
        <f t="shared" si="5"/>
        <v>8.6370869701929573E-2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93</v>
      </c>
      <c r="C28" s="11">
        <f t="shared" ref="C28:J28" si="6">IF(ISBLANK(C9),C7,C7+(C9-C7)*(1)/4)</f>
        <v>8.4578152276447174E-2</v>
      </c>
      <c r="D28" s="11">
        <f t="shared" si="6"/>
        <v>8.8470869701929578E-2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94</v>
      </c>
      <c r="C29" s="11">
        <f t="shared" ref="C29:J29" si="7">IF(ISBLANK(C9),C7,C7+(C9-C7)*(2)/4)</f>
        <v>8.6385434850964782E-2</v>
      </c>
      <c r="D29" s="11">
        <f t="shared" si="7"/>
        <v>9.0570869701929568E-2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95</v>
      </c>
      <c r="C30" s="11">
        <f t="shared" ref="C30:J30" si="8">IF(ISBLANK(C9),C7,C7+(C9-C7)*(3)/4)</f>
        <v>8.8192717425482403E-2</v>
      </c>
      <c r="D30" s="11">
        <f t="shared" si="8"/>
        <v>9.2670869701929573E-2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96</v>
      </c>
      <c r="C31" s="11">
        <f t="shared" ref="C31:J31" si="9">IF(ISBLANK(C9),C7,C7+(C9-C7)*(4)/4)</f>
        <v>9.0000000000000011E-2</v>
      </c>
      <c r="D31" s="11">
        <f t="shared" si="9"/>
        <v>9.4770869701929578E-2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97</v>
      </c>
      <c r="C33" s="6">
        <f t="shared" ref="C33:J37" si="10">C21*C27</f>
        <v>10119.506934731724</v>
      </c>
      <c r="D33" s="6">
        <f t="shared" si="10"/>
        <v>280.93377072195329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98</v>
      </c>
      <c r="C34" s="6">
        <f t="shared" si="10"/>
        <v>10754.082561090745</v>
      </c>
      <c r="D34" s="6">
        <f t="shared" si="10"/>
        <v>297.80310867182891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99</v>
      </c>
      <c r="C35" s="6">
        <f t="shared" si="10"/>
        <v>11423.233026462916</v>
      </c>
      <c r="D35" s="6">
        <f t="shared" si="10"/>
        <v>315.50754041067597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100</v>
      </c>
      <c r="C36" s="6">
        <f t="shared" si="10"/>
        <v>12128.708996967121</v>
      </c>
      <c r="D36" s="6">
        <f t="shared" si="10"/>
        <v>334.08480128270753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101</v>
      </c>
      <c r="C37" s="6">
        <f t="shared" si="10"/>
        <v>12872.345872269318</v>
      </c>
      <c r="D37" s="6">
        <f t="shared" si="10"/>
        <v>353.57424315615333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102</v>
      </c>
      <c r="C39" s="6">
        <f>C33*(1-Inputs!B22)</f>
        <v>7103.8938681816699</v>
      </c>
      <c r="D39" s="6">
        <f>D33*(1-Inputs!B22)</f>
        <v>197.21550704681121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103</v>
      </c>
      <c r="C40" s="6">
        <f>C34*(1-Inputs!B22)</f>
        <v>7549.3659578857023</v>
      </c>
      <c r="D40" s="6">
        <f>D34*(1-Inputs!B22)</f>
        <v>209.05778228762389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104</v>
      </c>
      <c r="C41" s="6">
        <f>C35*(1-Inputs!B22)</f>
        <v>8019.1095845769669</v>
      </c>
      <c r="D41" s="6">
        <f>D35*(1-Inputs!B22)</f>
        <v>221.48629336829453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105</v>
      </c>
      <c r="C42" s="6">
        <f>C36*(1-Inputs!B22)</f>
        <v>8514.3537158709187</v>
      </c>
      <c r="D42" s="6">
        <f>D36*(1-Inputs!B22)</f>
        <v>234.52753050046067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106</v>
      </c>
      <c r="C43" s="6">
        <f>C37*(1-Inputs!B22)</f>
        <v>9036.3868023330597</v>
      </c>
      <c r="D43" s="6">
        <f>D37*(1-Inputs!B22)</f>
        <v>248.20911869561962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107</v>
      </c>
      <c r="C45" s="6">
        <f t="shared" ref="C45:J45" si="11">C21*IF(ISBLANK(C26),C12,C12+(C26-C12)*(0)/4)</f>
        <v>4279.0748000000003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108</v>
      </c>
      <c r="C46" s="6">
        <f t="shared" ref="C46:J46" si="12">C22*IF(ISBLANK(C26),C12,C12+(C26-C12)*(1)/4)</f>
        <v>4450.2377920000008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109</v>
      </c>
      <c r="C47" s="6">
        <f t="shared" ref="C47:J47" si="13">C23*IF(ISBLANK(C26),C12,C12+(C26-C12)*(2)/4)</f>
        <v>4628.2473036800011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110</v>
      </c>
      <c r="C48" s="6">
        <f t="shared" ref="C48:J48" si="14">C24*IF(ISBLANK(C26),C12,C12+(C26-C12)*(3)/4)</f>
        <v>4813.3771958272018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111</v>
      </c>
      <c r="C49" s="6">
        <f t="shared" ref="C49:J49" si="15">C25*IF(ISBLANK(C26),C12,C12+(C26-C12)*(4)/4)</f>
        <v>5005.9122836602901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112</v>
      </c>
      <c r="C51" s="6">
        <f t="shared" ref="C51:J55" si="16">C39-C45</f>
        <v>2824.8190681816695</v>
      </c>
      <c r="D51" s="6">
        <f t="shared" si="16"/>
        <v>197.21550704681121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113</v>
      </c>
      <c r="C52" s="6">
        <f t="shared" si="16"/>
        <v>3099.1281658857015</v>
      </c>
      <c r="D52" s="6">
        <f t="shared" si="16"/>
        <v>209.05778228762389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114</v>
      </c>
      <c r="C53" s="6">
        <f t="shared" si="16"/>
        <v>3390.8622808969658</v>
      </c>
      <c r="D53" s="6">
        <f t="shared" si="16"/>
        <v>221.48629336829453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115</v>
      </c>
      <c r="C54" s="6">
        <f t="shared" si="16"/>
        <v>3700.9765200437168</v>
      </c>
      <c r="D54" s="6">
        <f t="shared" si="16"/>
        <v>234.52753050046067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116</v>
      </c>
      <c r="C55" s="6">
        <f t="shared" si="16"/>
        <v>4030.4745186727696</v>
      </c>
      <c r="D55" s="6">
        <f t="shared" si="16"/>
        <v>248.20911869561962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117</v>
      </c>
      <c r="C57" s="6">
        <f t="shared" ref="C57:J57" si="17">C51/((1+C16))</f>
        <v>2593.877586830145</v>
      </c>
      <c r="D57" s="6">
        <f t="shared" si="17"/>
        <v>181.09226508207894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118</v>
      </c>
      <c r="C58" s="6">
        <f t="shared" ref="C58:J58" si="18">C52/((1+C16)*(1+C16+(C104-C16)*1/5))</f>
        <v>2620.8901830666055</v>
      </c>
      <c r="D58" s="6">
        <f t="shared" si="18"/>
        <v>176.79729909934832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119</v>
      </c>
      <c r="C59" s="6">
        <f t="shared" ref="C59:J59" si="19">C53/((1+C16)*(1+C16+(C104-C16)*1/5)*(1+C16+(C104-C16)*2/5))</f>
        <v>2648.8986632950382</v>
      </c>
      <c r="D59" s="6">
        <f t="shared" si="19"/>
        <v>173.02228691111955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120</v>
      </c>
      <c r="C60" s="6">
        <f t="shared" ref="C60:J60" si="20">C54/((1+C16)*(1+C16+(C104-C16)*1/5)*(1+C16+(C104-C16)*2/5)*(1+C16+(C104-C16)*3/5))</f>
        <v>2678.6548853998306</v>
      </c>
      <c r="D60" s="6">
        <f t="shared" si="20"/>
        <v>169.74393431936608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121</v>
      </c>
      <c r="C61" s="6">
        <f t="shared" ref="C61:J61" si="21">C55/((1+C16)*(1+C16+(C104-C16)*1/5)*(1+C16+(C104-C16)*2/5)*(1+C16+(C104-C16)*3/5)*(1+C16+(C104-C16)*4/5))</f>
        <v>2710.8475058073286</v>
      </c>
      <c r="D61" s="6">
        <f t="shared" si="21"/>
        <v>166.94239529796772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122</v>
      </c>
    </row>
    <row r="63" spans="1:10" x14ac:dyDescent="0.25">
      <c r="A63" s="4" t="s">
        <v>123</v>
      </c>
      <c r="C63" s="6">
        <f t="shared" ref="C63:J63" si="22">C25*(1+(C6+(C13-C6)*1/5))</f>
        <v>148316.93727475993</v>
      </c>
      <c r="D63" s="6">
        <f t="shared" si="22"/>
        <v>3853.579565266527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124</v>
      </c>
      <c r="C64" s="6">
        <f t="shared" ref="C64:J64" si="23">C63*(1+(C6+(C13-C6)*2/5))</f>
        <v>153357.44754849863</v>
      </c>
      <c r="D64" s="6">
        <f t="shared" si="23"/>
        <v>3972.716775450499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125</v>
      </c>
      <c r="C65" s="6">
        <f t="shared" ref="C65:J65" si="24">C64*(1+(C6+(C13-C6)*3/5))</f>
        <v>158108.01453873527</v>
      </c>
      <c r="D65" s="6">
        <f t="shared" si="24"/>
        <v>4087.6524810048913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126</v>
      </c>
      <c r="C66" s="6">
        <f t="shared" ref="C66:J66" si="25">C65*(1+(C6+(C13-C6)*4/5))</f>
        <v>162530.20863428671</v>
      </c>
      <c r="D66" s="6">
        <f t="shared" si="25"/>
        <v>4197.8005568180342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127</v>
      </c>
      <c r="C67" s="6">
        <f t="shared" ref="C67:J67" si="26">C66*(1+(C6+(C13-C6)*5/5))</f>
        <v>166587.25708428558</v>
      </c>
      <c r="D67" s="6">
        <f t="shared" si="26"/>
        <v>4302.5852635230149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128</v>
      </c>
      <c r="C69" s="11">
        <f t="shared" ref="C69:J69" si="27">IF(ISBLANK(C9),C7,C9)</f>
        <v>9.0000000000000011E-2</v>
      </c>
      <c r="D69" s="11">
        <f t="shared" si="27"/>
        <v>9.4770869701929578E-2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129</v>
      </c>
      <c r="C70" s="11">
        <f t="shared" ref="C70:J70" si="28">IF(ISBLANK(C9),C7,C9)</f>
        <v>9.0000000000000011E-2</v>
      </c>
      <c r="D70" s="11">
        <f t="shared" si="28"/>
        <v>9.4770869701929578E-2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130</v>
      </c>
      <c r="C71" s="11">
        <f t="shared" ref="C71:J71" si="29">IF(ISBLANK(C9),C7,C9)</f>
        <v>9.0000000000000011E-2</v>
      </c>
      <c r="D71" s="11">
        <f t="shared" si="29"/>
        <v>9.4770869701929578E-2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131</v>
      </c>
      <c r="C72" s="11">
        <f t="shared" ref="C72:J72" si="30">IF(ISBLANK(C9),C7,C9)</f>
        <v>9.0000000000000011E-2</v>
      </c>
      <c r="D72" s="11">
        <f t="shared" si="30"/>
        <v>9.4770869701929578E-2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132</v>
      </c>
      <c r="C73" s="11">
        <f t="shared" ref="C73:J73" si="31">IF(ISBLANK(C9),C7,C9)</f>
        <v>9.0000000000000011E-2</v>
      </c>
      <c r="D73" s="11">
        <f t="shared" si="31"/>
        <v>9.4770869701929578E-2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133</v>
      </c>
      <c r="C75" s="6">
        <f t="shared" ref="C75:J79" si="32">C63*C69</f>
        <v>13348.524354728395</v>
      </c>
      <c r="D75" s="6">
        <f t="shared" si="32"/>
        <v>365.20708686589245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134</v>
      </c>
      <c r="C76" s="6">
        <f t="shared" si="32"/>
        <v>13802.170279364878</v>
      </c>
      <c r="D76" s="6">
        <f t="shared" si="32"/>
        <v>376.49782388888906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135</v>
      </c>
      <c r="C77" s="6">
        <f t="shared" si="32"/>
        <v>14229.721308486176</v>
      </c>
      <c r="D77" s="6">
        <f t="shared" si="32"/>
        <v>387.39038066408375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136</v>
      </c>
      <c r="C78" s="6">
        <f t="shared" si="32"/>
        <v>14627.718777085805</v>
      </c>
      <c r="D78" s="6">
        <f t="shared" si="32"/>
        <v>397.82920960488934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137</v>
      </c>
      <c r="C79" s="6">
        <f t="shared" si="32"/>
        <v>14992.853137585704</v>
      </c>
      <c r="D79" s="6">
        <f t="shared" si="32"/>
        <v>407.75974739078197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138</v>
      </c>
      <c r="C81" s="6">
        <f>C75*(1-Inputs!B22)</f>
        <v>9370.664097019333</v>
      </c>
      <c r="D81" s="6">
        <f>D75*(1-Inputs!B22)</f>
        <v>256.37537497985647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139</v>
      </c>
      <c r="C82" s="6">
        <f>C76*(1-Inputs!B22)</f>
        <v>9689.1235361141444</v>
      </c>
      <c r="D82" s="6">
        <f>D76*(1-Inputs!B22)</f>
        <v>264.30147237000011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140</v>
      </c>
      <c r="C83" s="6">
        <f>C77*(1-Inputs!B22)</f>
        <v>9989.2643585572951</v>
      </c>
      <c r="D83" s="6">
        <f>D77*(1-Inputs!B22)</f>
        <v>271.94804722618676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141</v>
      </c>
      <c r="C84" s="6">
        <f>C78*(1-Inputs!B22)</f>
        <v>10268.658581514235</v>
      </c>
      <c r="D84" s="6">
        <f>D78*(1-Inputs!B22)</f>
        <v>279.27610514263228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142</v>
      </c>
      <c r="C85" s="6">
        <f>C79*(1-Inputs!B22)</f>
        <v>10524.982902585163</v>
      </c>
      <c r="D85" s="6">
        <f>D79*(1-Inputs!B22)</f>
        <v>286.24734266832894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143</v>
      </c>
      <c r="C87" s="6">
        <f t="shared" ref="C87:J87" si="33">C63*MAX(IF(ISBLANK(C26),C12,C26),0)</f>
        <v>5191.0928046165982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144</v>
      </c>
      <c r="C88" s="6">
        <f t="shared" ref="C88:J88" si="34">C64*MAX(IF(ISBLANK(C26),C12,C26),0)</f>
        <v>5367.5106641974526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145</v>
      </c>
      <c r="C89" s="6">
        <f t="shared" ref="C89:J89" si="35">C65*MAX(IF(ISBLANK(C26),C12,C26),0)</f>
        <v>5533.7805088557352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146</v>
      </c>
      <c r="C90" s="6">
        <f t="shared" ref="C90:J90" si="36">C66*MAX(IF(ISBLANK(C26),C12,C26),0)</f>
        <v>5688.5573022000353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147</v>
      </c>
      <c r="C91" s="6">
        <f t="shared" ref="C91:J91" si="37">C67*MAX(IF(ISBLANK(C26),C12,C26),0)</f>
        <v>5830.5539979499954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148</v>
      </c>
      <c r="C93" s="6">
        <f t="shared" ref="C93:J97" si="38">C81-C87</f>
        <v>4179.5712924027348</v>
      </c>
      <c r="D93" s="6">
        <f t="shared" si="38"/>
        <v>256.37537497985647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149</v>
      </c>
      <c r="C94" s="6">
        <f t="shared" si="38"/>
        <v>4321.6128719166918</v>
      </c>
      <c r="D94" s="6">
        <f t="shared" si="38"/>
        <v>264.30147237000011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150</v>
      </c>
      <c r="C95" s="6">
        <f t="shared" si="38"/>
        <v>4455.4838497015598</v>
      </c>
      <c r="D95" s="6">
        <f t="shared" si="38"/>
        <v>271.94804722618676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151</v>
      </c>
      <c r="C96" s="6">
        <f t="shared" si="38"/>
        <v>4580.1012793141999</v>
      </c>
      <c r="D96" s="6">
        <f t="shared" si="38"/>
        <v>279.27610514263228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152</v>
      </c>
      <c r="C97" s="6">
        <f t="shared" si="38"/>
        <v>4694.4289046351678</v>
      </c>
      <c r="D97" s="6">
        <f t="shared" si="38"/>
        <v>286.24734266832894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153</v>
      </c>
      <c r="C99" s="6">
        <f t="shared" ref="C99:J99" si="39">C93/(((1+C16)*(1+C16+(C104-C16)*1/5)*(1+C16+(C104-C16)*2/5)*(1+C16+(C104-C16)*3/5)*(1+C16+(C104-C16)*4/5))*(1+C104)^1)</f>
        <v>2620.2110658385532</v>
      </c>
      <c r="D99" s="6">
        <f t="shared" si="39"/>
        <v>160.72404261934511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154</v>
      </c>
      <c r="C100" s="6">
        <f t="shared" ref="C100:J100" si="40">C94/(((1+C16)*(1+C16+(C104-C16)*1/5)*(1+C16+(C104-C16)*2/5)*(1+C16+(C104-C16)*3/5)*(1+C16+(C104-C16)*4/5))*(1+C104)^2)</f>
        <v>2525.2595969086956</v>
      </c>
      <c r="D100" s="6">
        <f t="shared" si="40"/>
        <v>154.43998557034735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155</v>
      </c>
      <c r="C101" s="6">
        <f t="shared" ref="C101:J101" si="41">C95/(((1+C16)*(1+C16+(C104-C16)*1/5)*(1+C16+(C104-C16)*2/5)*(1+C16+(C104-C16)*3/5)*(1+C16+(C104-C16)*4/5))*(1+C104)^3)</f>
        <v>2426.6697399119507</v>
      </c>
      <c r="D101" s="6">
        <f t="shared" si="41"/>
        <v>148.11592170312483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156</v>
      </c>
      <c r="C102" s="6">
        <f t="shared" ref="C102:J102" si="42">C96/(((1+C16)*(1+C16+(C104-C16)*1/5)*(1+C16+(C104-C16)*2/5)*(1+C16+(C104-C16)*3/5)*(1+C16+(C104-C16)*4/5))*(1+C104)^4)</f>
        <v>2325.1261117355398</v>
      </c>
      <c r="D102" s="6">
        <f t="shared" si="42"/>
        <v>141.77681340447671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157</v>
      </c>
      <c r="C103" s="6">
        <f t="shared" ref="C103:J103" si="43">C97/(((1+C16)*(1+C16+(C104-C16)*1/5)*(1+C16+(C104-C16)*2/5)*(1+C16+(C104-C16)*3/5)*(1+C16+(C104-C16)*4/5))*(1+C104)^5)</f>
        <v>2221.3133616339742</v>
      </c>
      <c r="D103" s="6">
        <f t="shared" si="43"/>
        <v>135.44673056472524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158</v>
      </c>
      <c r="C104" s="11">
        <f>MAX((Inputs!B18+((1+(1-Inputs!B22)*(Inputs!B36/(1-Inputs!B36)))/(1+(1-Inputs!B22)*0.25))*Inputs!B19+IF(ISBLANK(C17),Inputs!B24,C17)+Inputs!B25+Inputs!B39)*(1-Inputs!B36)+Inputs!B38*Inputs!B36,C15)</f>
        <v>7.2863249680986814E-2</v>
      </c>
      <c r="D104" s="11">
        <f>MAX((Inputs!B18+((1+(1-Inputs!B22)*(Inputs!B36/(1-Inputs!B36)))/(1+(1-Inputs!B22)*0.25))*Inputs!B19+IF(ISBLANK(D17),Inputs!B24,D17)+Inputs!B25+Inputs!B39)*(1-Inputs!B36)+Inputs!B38*Inputs!B36,D15)</f>
        <v>7.2863249680986814E-2</v>
      </c>
      <c r="E104" s="11">
        <f>MAX((Inputs!B18+((1+(1-Inputs!B22)*(Inputs!B36/(1-Inputs!B36)))/(1+(1-Inputs!B22)*0.25))*Inputs!B19+IF(ISBLANK(E17),Inputs!B24,E17)+Inputs!B25+Inputs!B39)*(1-Inputs!B36)+Inputs!B38*Inputs!B36,E15)</f>
        <v>7.2863249680986814E-2</v>
      </c>
      <c r="F104" s="11">
        <f>MAX((Inputs!B18+((1+(1-Inputs!B22)*(Inputs!B36/(1-Inputs!B36)))/(1+(1-Inputs!B22)*0.25))*Inputs!B19+IF(ISBLANK(F17),Inputs!B24,F17)+Inputs!B25+Inputs!B39)*(1-Inputs!B36)+Inputs!B38*Inputs!B36,F15)</f>
        <v>7.2863249680986814E-2</v>
      </c>
      <c r="G104" s="11">
        <f>MAX((Inputs!B18+((1+(1-Inputs!B22)*(Inputs!B36/(1-Inputs!B36)))/(1+(1-Inputs!B22)*0.25))*Inputs!B19+IF(ISBLANK(G17),Inputs!B24,G17)+Inputs!B25+Inputs!B39)*(1-Inputs!B36)+Inputs!B38*Inputs!B36,G15)</f>
        <v>7.2863249680986814E-2</v>
      </c>
      <c r="H104" s="11">
        <f>MAX((Inputs!B18+((1+(1-Inputs!B22)*(Inputs!B36/(1-Inputs!B36)))/(1+(1-Inputs!B22)*0.25))*Inputs!B19+IF(ISBLANK(H17),Inputs!B24,H17)+Inputs!B25+Inputs!B39)*(1-Inputs!B36)+Inputs!B38*Inputs!B36,H15)</f>
        <v>7.2863249680986814E-2</v>
      </c>
      <c r="I104" s="11">
        <f>MAX((Inputs!B18+((1+(1-Inputs!B22)*(Inputs!B36/(1-Inputs!B36)))/(1+(1-Inputs!B22)*0.25))*Inputs!B19+IF(ISBLANK(I17),Inputs!B24,I17)+Inputs!B25+Inputs!B39)*(1-Inputs!B36)+Inputs!B38*Inputs!B36,I15)</f>
        <v>7.2863249680986814E-2</v>
      </c>
      <c r="J104" s="11">
        <f>MAX((Inputs!B18+((1+(1-Inputs!B22)*(Inputs!B36/(1-Inputs!B36)))/(1+(1-Inputs!B22)*0.25))*Inputs!B19+IF(ISBLANK(J17),Inputs!B24,J17)+Inputs!B25+Inputs!B39)*(1-Inputs!B36)+Inputs!B38*Inputs!B36,J15)</f>
        <v>7.2863249680986814E-2</v>
      </c>
    </row>
    <row r="105" spans="1:11" x14ac:dyDescent="0.25">
      <c r="A105" s="4" t="s">
        <v>159</v>
      </c>
      <c r="C105" s="6">
        <f t="shared" ref="C105:J105" si="44">SUM(C57:C61,C99:C103)</f>
        <v>25371.748700427659</v>
      </c>
      <c r="D105" s="6">
        <f t="shared" si="44"/>
        <v>1608.1016745718996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160</v>
      </c>
      <c r="C106" s="6">
        <f t="shared" ref="C106:J106" si="45">IF(C5=0,0,C97*(1+C13)/(C104-C13))</f>
        <v>100448.13995299014</v>
      </c>
      <c r="D106" s="6">
        <f t="shared" si="45"/>
        <v>6124.9224818656403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161</v>
      </c>
      <c r="C107" s="6">
        <f t="shared" ref="C107:J107" si="46">C106/(((1+C16)*(1+C16+(C104-C16)*1/5)*(1+C16+(C104-C16)*2/5)*(1+C16+(C104-C16)*3/5)*(1+C16+(C104-C16)*4/5))*(1+C104)^5)</f>
        <v>47530.125593881363</v>
      </c>
      <c r="D107" s="6">
        <f t="shared" si="46"/>
        <v>2898.195376759641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162</v>
      </c>
      <c r="C109" s="20">
        <f t="shared" ref="C109:J109" si="47">C105+C107</f>
        <v>72901.874294309018</v>
      </c>
      <c r="D109" s="20">
        <f t="shared" si="47"/>
        <v>4506.2970513315404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77408.171345640556</v>
      </c>
    </row>
    <row r="110" spans="1:11" x14ac:dyDescent="0.25">
      <c r="A110" s="4" t="s">
        <v>163</v>
      </c>
      <c r="K110" s="11">
        <f>IFERROR(SUMPRODUCT(C109:J109,C16:J16)/SUM(C109:J109),0)</f>
        <v>8.903330000000001E-2</v>
      </c>
    </row>
    <row r="111" spans="1:11" x14ac:dyDescent="0.25">
      <c r="A111" s="4" t="s">
        <v>164</v>
      </c>
      <c r="K111" s="5">
        <v>-13026</v>
      </c>
    </row>
    <row r="112" spans="1:11" x14ac:dyDescent="0.25">
      <c r="A112" s="4" t="s">
        <v>165</v>
      </c>
      <c r="K112" s="5">
        <v>1934</v>
      </c>
    </row>
    <row r="113" spans="1:11" x14ac:dyDescent="0.25">
      <c r="A113" s="4" t="s">
        <v>166</v>
      </c>
      <c r="K113" s="5">
        <v>0</v>
      </c>
    </row>
    <row r="114" spans="1:11" x14ac:dyDescent="0.25">
      <c r="A114" s="4" t="s">
        <v>167</v>
      </c>
      <c r="K114" s="5">
        <v>0</v>
      </c>
    </row>
    <row r="115" spans="1:11" x14ac:dyDescent="0.25">
      <c r="A115" s="4" t="s">
        <v>168</v>
      </c>
      <c r="K115" s="5">
        <v>16744</v>
      </c>
    </row>
    <row r="116" spans="1:11" x14ac:dyDescent="0.25">
      <c r="A116" s="4" t="s">
        <v>169</v>
      </c>
      <c r="K116" s="5">
        <v>0</v>
      </c>
    </row>
    <row r="117" spans="1:11" x14ac:dyDescent="0.25">
      <c r="A117" s="4" t="s">
        <v>170</v>
      </c>
      <c r="K117" s="5">
        <v>0</v>
      </c>
    </row>
    <row r="118" spans="1:11" x14ac:dyDescent="0.25">
      <c r="A118" s="4" t="s">
        <v>171</v>
      </c>
      <c r="K118" s="5">
        <v>-13026</v>
      </c>
    </row>
    <row r="119" spans="1:11" x14ac:dyDescent="0.25">
      <c r="A119" s="4" t="s">
        <v>172</v>
      </c>
      <c r="K119" s="20">
        <f>K109+K113+K114+K115+K116+K117+K118+K121-K111-K112</f>
        <v>92156.171345640556</v>
      </c>
    </row>
    <row r="120" spans="1:11" x14ac:dyDescent="0.25">
      <c r="A120" s="4" t="s">
        <v>173</v>
      </c>
      <c r="K120" s="6">
        <f>Inputs!B11</f>
        <v>607.13</v>
      </c>
    </row>
    <row r="121" spans="1:11" x14ac:dyDescent="0.25">
      <c r="A121" s="4" t="s">
        <v>174</v>
      </c>
      <c r="K121" s="21">
        <f>-(Inputs!B41+Inputs!B42)</f>
        <v>-62</v>
      </c>
    </row>
    <row r="122" spans="1:11" ht="15.75" customHeight="1" x14ac:dyDescent="0.25">
      <c r="A122" s="4" t="s">
        <v>175</v>
      </c>
      <c r="K122" s="22">
        <f>K119/K120</f>
        <v>151.78984953080982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2"/>
  <sheetViews>
    <sheetView workbookViewId="0"/>
  </sheetViews>
  <sheetFormatPr baseColWidth="10" defaultColWidth="9.140625" defaultRowHeight="15" x14ac:dyDescent="0.25"/>
  <cols>
    <col min="1" max="1" width="30" customWidth="1"/>
    <col min="2" max="2" width="4" customWidth="1"/>
    <col min="3" max="11" width="14" customWidth="1"/>
  </cols>
  <sheetData>
    <row r="1" spans="1:11" ht="18.75" customHeight="1" x14ac:dyDescent="0.3">
      <c r="A1" s="1" t="s">
        <v>181</v>
      </c>
    </row>
    <row r="2" spans="1:11" x14ac:dyDescent="0.25">
      <c r="A2" s="2" t="s">
        <v>56</v>
      </c>
    </row>
    <row r="3" spans="1:11" x14ac:dyDescent="0.25">
      <c r="C3" s="13" t="s">
        <v>57</v>
      </c>
      <c r="D3" s="13" t="s">
        <v>58</v>
      </c>
      <c r="E3" s="13" t="s">
        <v>59</v>
      </c>
      <c r="F3" s="13" t="s">
        <v>60</v>
      </c>
      <c r="G3" s="13" t="s">
        <v>61</v>
      </c>
      <c r="H3" s="13" t="s">
        <v>62</v>
      </c>
      <c r="I3" s="13" t="s">
        <v>63</v>
      </c>
      <c r="J3" s="13" t="s">
        <v>64</v>
      </c>
      <c r="K3" s="13" t="s">
        <v>65</v>
      </c>
    </row>
    <row r="4" spans="1:11" x14ac:dyDescent="0.25">
      <c r="A4" s="4" t="s">
        <v>66</v>
      </c>
      <c r="C4" s="14" t="s">
        <v>57</v>
      </c>
      <c r="D4" s="14" t="s">
        <v>58</v>
      </c>
      <c r="E4" s="14"/>
      <c r="F4" s="14"/>
      <c r="G4" s="14"/>
      <c r="H4" s="14"/>
      <c r="I4" s="14"/>
      <c r="J4" s="14"/>
    </row>
    <row r="5" spans="1:11" x14ac:dyDescent="0.25">
      <c r="A5" s="4" t="s">
        <v>67</v>
      </c>
      <c r="C5" s="5">
        <v>117557</v>
      </c>
      <c r="D5" s="5">
        <v>3143</v>
      </c>
      <c r="E5" s="5"/>
      <c r="F5" s="5"/>
      <c r="G5" s="5"/>
      <c r="H5" s="5"/>
      <c r="I5" s="5"/>
      <c r="J5" s="5"/>
    </row>
    <row r="6" spans="1:11" x14ac:dyDescent="0.25">
      <c r="A6" s="4" t="s">
        <v>68</v>
      </c>
      <c r="C6" s="7">
        <v>-0.02</v>
      </c>
      <c r="D6" s="7">
        <v>0.01</v>
      </c>
      <c r="E6" s="7"/>
      <c r="F6" s="7"/>
      <c r="G6" s="7"/>
      <c r="H6" s="7"/>
      <c r="I6" s="7"/>
      <c r="J6" s="7"/>
    </row>
    <row r="7" spans="1:11" x14ac:dyDescent="0.25">
      <c r="A7" s="4" t="s">
        <v>69</v>
      </c>
      <c r="C7" s="7">
        <v>1.8267318681082171E-2</v>
      </c>
      <c r="D7" s="7">
        <v>2.186731868108217E-2</v>
      </c>
      <c r="E7" s="7"/>
      <c r="F7" s="7"/>
      <c r="G7" s="7"/>
      <c r="H7" s="7"/>
      <c r="I7" s="7"/>
      <c r="J7" s="7"/>
    </row>
    <row r="8" spans="1:11" x14ac:dyDescent="0.25">
      <c r="A8" s="4" t="s">
        <v>70</v>
      </c>
      <c r="C8" s="15">
        <v>5.2999999999999999E-2</v>
      </c>
      <c r="D8" s="15">
        <v>5.6599999999999998E-2</v>
      </c>
      <c r="E8" s="15"/>
      <c r="F8" s="15"/>
      <c r="G8" s="15"/>
      <c r="H8" s="15"/>
      <c r="I8" s="15"/>
      <c r="J8" s="15"/>
    </row>
    <row r="9" spans="1:11" x14ac:dyDescent="0.25">
      <c r="A9" s="4" t="s">
        <v>71</v>
      </c>
      <c r="C9" s="7">
        <v>4.5000000000000012E-2</v>
      </c>
      <c r="D9" s="7">
        <v>3.0267318681082171E-2</v>
      </c>
      <c r="E9" s="7"/>
      <c r="F9" s="7"/>
      <c r="G9" s="7"/>
      <c r="H9" s="7"/>
      <c r="I9" s="7"/>
      <c r="J9" s="7"/>
    </row>
    <row r="10" spans="1:11" x14ac:dyDescent="0.25">
      <c r="A10" s="4" t="s">
        <v>72</v>
      </c>
      <c r="C10" s="7">
        <v>8.9300000000000004E-2</v>
      </c>
      <c r="D10" s="7">
        <v>4.65E-2</v>
      </c>
      <c r="E10" s="7"/>
      <c r="F10" s="7"/>
      <c r="G10" s="7"/>
      <c r="H10" s="7"/>
      <c r="I10" s="7"/>
      <c r="J10" s="7"/>
    </row>
    <row r="11" spans="1:11" x14ac:dyDescent="0.25">
      <c r="A11" s="4" t="s">
        <v>73</v>
      </c>
      <c r="C11" s="7">
        <v>7.2400000000000006E-2</v>
      </c>
      <c r="D11" s="7">
        <v>5.0299999999999997E-2</v>
      </c>
      <c r="E11" s="7"/>
      <c r="F11" s="7"/>
      <c r="G11" s="7"/>
      <c r="H11" s="7"/>
      <c r="I11" s="7"/>
      <c r="J11" s="7"/>
    </row>
    <row r="12" spans="1:11" x14ac:dyDescent="0.25">
      <c r="A12" s="4" t="s">
        <v>74</v>
      </c>
      <c r="C12" s="7">
        <v>3.5000000000000003E-2</v>
      </c>
      <c r="D12" s="7">
        <v>0</v>
      </c>
      <c r="E12" s="7"/>
      <c r="F12" s="7"/>
      <c r="G12" s="7"/>
      <c r="H12" s="7"/>
      <c r="I12" s="7"/>
      <c r="J12" s="7"/>
    </row>
    <row r="13" spans="1:11" x14ac:dyDescent="0.25">
      <c r="A13" s="4" t="s">
        <v>75</v>
      </c>
      <c r="C13" s="7">
        <v>1.255728257451761E-2</v>
      </c>
      <c r="D13" s="7">
        <v>1.255728257451761E-2</v>
      </c>
      <c r="E13" s="7"/>
      <c r="F13" s="7"/>
      <c r="G13" s="7"/>
      <c r="H13" s="7"/>
      <c r="I13" s="7"/>
      <c r="J13" s="7"/>
    </row>
    <row r="14" spans="1:11" x14ac:dyDescent="0.25">
      <c r="A14" s="4" t="s">
        <v>76</v>
      </c>
      <c r="C14" s="9">
        <v>1.22</v>
      </c>
      <c r="D14" s="9">
        <v>1.22</v>
      </c>
      <c r="E14" s="9"/>
      <c r="F14" s="9"/>
      <c r="G14" s="9"/>
      <c r="H14" s="9"/>
      <c r="I14" s="9"/>
      <c r="J14" s="9"/>
    </row>
    <row r="15" spans="1:11" x14ac:dyDescent="0.25">
      <c r="A15" s="4" t="s">
        <v>77</v>
      </c>
      <c r="C15" s="7">
        <v>0</v>
      </c>
      <c r="D15" s="7">
        <v>0</v>
      </c>
      <c r="E15" s="7"/>
      <c r="F15" s="7"/>
      <c r="G15" s="7"/>
      <c r="H15" s="7"/>
      <c r="I15" s="7"/>
      <c r="J15" s="7"/>
    </row>
    <row r="16" spans="1:11" x14ac:dyDescent="0.25">
      <c r="A16" s="4" t="s">
        <v>78</v>
      </c>
      <c r="C16" s="11">
        <f>MAX((MAX(Inputs!B18+((1-0.33)*C14*(1+(1-Inputs!B22)*Inputs!B21)+0.33)*Inputs!B19+IF(ISBLANK(C17),Inputs!B24,C17)+Inputs!B25+Inputs!B39,MIN(Inputs!B27,0.08)+0.025))*Inputs!B29+Inputs!B28*Inputs!B30,C15)</f>
        <v>8.903330000000001E-2</v>
      </c>
      <c r="D16" s="11">
        <f>MAX((MAX(Inputs!B18+((1-0.33)*D14*(1+(1-Inputs!B22)*Inputs!B21)+0.33)*Inputs!B19+IF(ISBLANK(D17),Inputs!B24,D17)+Inputs!B25+Inputs!B39,MIN(Inputs!B27,0.08)+0.025))*Inputs!B29+Inputs!B28*Inputs!B30,D15)</f>
        <v>8.903330000000001E-2</v>
      </c>
      <c r="E16" s="11">
        <f>MAX((MAX(Inputs!B18+((1-0.33)*E14*(1+(1-Inputs!B22)*Inputs!B21)+0.33)*Inputs!B19+IF(ISBLANK(E17),Inputs!B24,E17)+Inputs!B25+Inputs!B39,MIN(Inputs!B27,0.08)+0.025))*Inputs!B29+Inputs!B28*Inputs!B30,E15)</f>
        <v>6.2E-2</v>
      </c>
      <c r="F16" s="11">
        <f>MAX((MAX(Inputs!B18+((1-0.33)*F14*(1+(1-Inputs!B22)*Inputs!B21)+0.33)*Inputs!B19+IF(ISBLANK(F17),Inputs!B24,F17)+Inputs!B25+Inputs!B39,MIN(Inputs!B27,0.08)+0.025))*Inputs!B29+Inputs!B28*Inputs!B30,F15)</f>
        <v>6.2E-2</v>
      </c>
      <c r="G16" s="11">
        <f>MAX((MAX(Inputs!B18+((1-0.33)*G14*(1+(1-Inputs!B22)*Inputs!B21)+0.33)*Inputs!B19+IF(ISBLANK(G17),Inputs!B24,G17)+Inputs!B25+Inputs!B39,MIN(Inputs!B27,0.08)+0.025))*Inputs!B29+Inputs!B28*Inputs!B30,G15)</f>
        <v>6.2E-2</v>
      </c>
      <c r="H16" s="11">
        <f>MAX((MAX(Inputs!B18+((1-0.33)*H14*(1+(1-Inputs!B22)*Inputs!B21)+0.33)*Inputs!B19+IF(ISBLANK(H17),Inputs!B24,H17)+Inputs!B25+Inputs!B39,MIN(Inputs!B27,0.08)+0.025))*Inputs!B29+Inputs!B28*Inputs!B30,H15)</f>
        <v>6.2E-2</v>
      </c>
      <c r="I16" s="11">
        <f>MAX((MAX(Inputs!B18+((1-0.33)*I14*(1+(1-Inputs!B22)*Inputs!B21)+0.33)*Inputs!B19+IF(ISBLANK(I17),Inputs!B24,I17)+Inputs!B25+Inputs!B39,MIN(Inputs!B27,0.08)+0.025))*Inputs!B29+Inputs!B28*Inputs!B30,I15)</f>
        <v>6.2E-2</v>
      </c>
      <c r="J16" s="11">
        <f>MAX((MAX(Inputs!B18+((1-0.33)*J14*(1+(1-Inputs!B22)*Inputs!B21)+0.33)*Inputs!B19+IF(ISBLANK(J17),Inputs!B24,J17)+Inputs!B25+Inputs!B39,MIN(Inputs!B27,0.08)+0.025))*Inputs!B29+Inputs!B28*Inputs!B30,J15)</f>
        <v>6.2E-2</v>
      </c>
    </row>
    <row r="17" spans="1:10" x14ac:dyDescent="0.25">
      <c r="A17" s="16" t="s">
        <v>79</v>
      </c>
      <c r="C17" s="7"/>
      <c r="D17" s="7"/>
      <c r="E17" s="7"/>
      <c r="F17" s="7"/>
      <c r="G17" s="7"/>
      <c r="H17" s="7"/>
      <c r="I17" s="7"/>
      <c r="J17" s="7"/>
    </row>
    <row r="18" spans="1:10" ht="39.950000000000003" customHeight="1" x14ac:dyDescent="0.25">
      <c r="A18" s="17" t="s">
        <v>80</v>
      </c>
      <c r="C18" s="18" t="s">
        <v>182</v>
      </c>
      <c r="D18" s="18" t="s">
        <v>183</v>
      </c>
      <c r="E18" s="18"/>
      <c r="F18" s="18"/>
      <c r="G18" s="18"/>
      <c r="H18" s="18"/>
      <c r="I18" s="18"/>
      <c r="J18" s="18"/>
    </row>
    <row r="19" spans="1:10" ht="39.950000000000003" customHeight="1" x14ac:dyDescent="0.25">
      <c r="A19" s="17" t="s">
        <v>83</v>
      </c>
      <c r="C19" s="18" t="s">
        <v>184</v>
      </c>
      <c r="D19" s="18" t="s">
        <v>185</v>
      </c>
      <c r="E19" s="18"/>
      <c r="F19" s="18"/>
      <c r="G19" s="18"/>
      <c r="H19" s="18"/>
      <c r="I19" s="18"/>
      <c r="J19" s="18"/>
    </row>
    <row r="21" spans="1:10" x14ac:dyDescent="0.25">
      <c r="A21" s="4" t="s">
        <v>86</v>
      </c>
      <c r="C21" s="6">
        <f t="shared" ref="C21:J21" si="0">C5*(1+C6)^1</f>
        <v>115205.86</v>
      </c>
      <c r="D21" s="6">
        <f t="shared" si="0"/>
        <v>3174.43</v>
      </c>
      <c r="E21" s="6">
        <f t="shared" si="0"/>
        <v>0</v>
      </c>
      <c r="F21" s="6">
        <f t="shared" si="0"/>
        <v>0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25">
      <c r="A22" s="4" t="s">
        <v>87</v>
      </c>
      <c r="C22" s="6">
        <f t="shared" ref="C22:J22" si="1">C5*(1+C6)^2</f>
        <v>112901.74279999999</v>
      </c>
      <c r="D22" s="6">
        <f t="shared" si="1"/>
        <v>3206.1743000000001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25">
      <c r="A23" s="4" t="s">
        <v>88</v>
      </c>
      <c r="C23" s="6">
        <f t="shared" ref="C23:J23" si="2">C5*(1+C6)^3</f>
        <v>110643.70794399999</v>
      </c>
      <c r="D23" s="6">
        <f t="shared" si="2"/>
        <v>3238.2360429999999</v>
      </c>
      <c r="E23" s="6">
        <f t="shared" si="2"/>
        <v>0</v>
      </c>
      <c r="F23" s="6">
        <f t="shared" si="2"/>
        <v>0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25">
      <c r="A24" s="4" t="s">
        <v>89</v>
      </c>
      <c r="C24" s="6">
        <f t="shared" ref="C24:J24" si="3">C5*(1+C6)^4</f>
        <v>108430.83378511999</v>
      </c>
      <c r="D24" s="6">
        <f t="shared" si="3"/>
        <v>3270.6184034299999</v>
      </c>
      <c r="E24" s="6">
        <f t="shared" si="3"/>
        <v>0</v>
      </c>
      <c r="F24" s="6">
        <f t="shared" si="3"/>
        <v>0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25">
      <c r="A25" s="4" t="s">
        <v>90</v>
      </c>
      <c r="C25" s="6">
        <f t="shared" ref="C25:J25" si="4">C5*(1+C6)^5</f>
        <v>106262.21710941757</v>
      </c>
      <c r="D25" s="6">
        <f t="shared" si="4"/>
        <v>3303.3245874642998</v>
      </c>
      <c r="E25" s="6">
        <f t="shared" si="4"/>
        <v>0</v>
      </c>
      <c r="F25" s="6">
        <f t="shared" si="4"/>
        <v>0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25">
      <c r="A26" s="4" t="s">
        <v>91</v>
      </c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4" t="s">
        <v>92</v>
      </c>
      <c r="C27" s="11">
        <f t="shared" ref="C27:J27" si="5">IF(ISBLANK(C9),C7,C7+(C9-C7)*(0)/4)</f>
        <v>1.8267318681082171E-2</v>
      </c>
      <c r="D27" s="11">
        <f t="shared" si="5"/>
        <v>2.186731868108217E-2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25">
      <c r="A28" s="4" t="s">
        <v>93</v>
      </c>
      <c r="C28" s="11">
        <f t="shared" ref="C28:J28" si="6">IF(ISBLANK(C9),C7,C7+(C9-C7)*(1)/4)</f>
        <v>2.4950489010811632E-2</v>
      </c>
      <c r="D28" s="11">
        <f t="shared" si="6"/>
        <v>2.3967318681082171E-2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25">
      <c r="A29" s="4" t="s">
        <v>94</v>
      </c>
      <c r="C29" s="11">
        <f t="shared" ref="C29:J29" si="7">IF(ISBLANK(C9),C7,C7+(C9-C7)*(2)/4)</f>
        <v>3.163365934054109E-2</v>
      </c>
      <c r="D29" s="11">
        <f t="shared" si="7"/>
        <v>2.6067318681082169E-2</v>
      </c>
      <c r="E29" s="11">
        <f t="shared" si="7"/>
        <v>0</v>
      </c>
      <c r="F29" s="11">
        <f t="shared" si="7"/>
        <v>0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25">
      <c r="A30" s="4" t="s">
        <v>95</v>
      </c>
      <c r="C30" s="11">
        <f t="shared" ref="C30:J30" si="8">IF(ISBLANK(C9),C7,C7+(C9-C7)*(3)/4)</f>
        <v>3.8316829670270551E-2</v>
      </c>
      <c r="D30" s="11">
        <f t="shared" si="8"/>
        <v>2.816731868108217E-2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25">
      <c r="A31" s="4" t="s">
        <v>96</v>
      </c>
      <c r="C31" s="11">
        <f t="shared" ref="C31:J31" si="9">IF(ISBLANK(C9),C7,C7+(C9-C7)*(4)/4)</f>
        <v>4.5000000000000012E-2</v>
      </c>
      <c r="D31" s="11">
        <f t="shared" si="9"/>
        <v>3.0267318681082171E-2</v>
      </c>
      <c r="E31" s="11">
        <f t="shared" si="9"/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25">
      <c r="A33" s="4" t="s">
        <v>97</v>
      </c>
      <c r="C33" s="6">
        <f t="shared" ref="C33:J37" si="10">C21*C27</f>
        <v>2104.5021585481372</v>
      </c>
      <c r="D33" s="6">
        <f t="shared" si="10"/>
        <v>69.416272440787665</v>
      </c>
      <c r="E33" s="6">
        <f t="shared" si="10"/>
        <v>0</v>
      </c>
      <c r="F33" s="6">
        <f t="shared" si="10"/>
        <v>0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25">
      <c r="A34" s="4" t="s">
        <v>98</v>
      </c>
      <c r="C34" s="6">
        <f t="shared" si="10"/>
        <v>2816.9536930328813</v>
      </c>
      <c r="D34" s="6">
        <f t="shared" si="10"/>
        <v>76.843401195195554</v>
      </c>
      <c r="E34" s="6">
        <f t="shared" si="10"/>
        <v>0</v>
      </c>
      <c r="F34" s="6">
        <f t="shared" si="10"/>
        <v>0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25">
      <c r="A35" s="4" t="s">
        <v>99</v>
      </c>
      <c r="C35" s="6">
        <f t="shared" si="10"/>
        <v>3500.065365274816</v>
      </c>
      <c r="D35" s="6">
        <f t="shared" si="10"/>
        <v>84.412130897447497</v>
      </c>
      <c r="E35" s="6">
        <f t="shared" si="10"/>
        <v>0</v>
      </c>
      <c r="F35" s="6">
        <f t="shared" si="10"/>
        <v>0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25">
      <c r="A36" s="4" t="s">
        <v>100</v>
      </c>
      <c r="C36" s="6">
        <f t="shared" si="10"/>
        <v>4154.7257891498602</v>
      </c>
      <c r="D36" s="6">
        <f t="shared" si="10"/>
        <v>92.124550853624982</v>
      </c>
      <c r="E36" s="6">
        <f t="shared" si="10"/>
        <v>0</v>
      </c>
      <c r="F36" s="6">
        <f t="shared" si="10"/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25">
      <c r="A37" s="4" t="s">
        <v>101</v>
      </c>
      <c r="C37" s="6">
        <f t="shared" si="10"/>
        <v>4781.7997699237922</v>
      </c>
      <c r="D37" s="6">
        <f t="shared" si="10"/>
        <v>99.982777995836258</v>
      </c>
      <c r="E37" s="6">
        <f t="shared" si="10"/>
        <v>0</v>
      </c>
      <c r="F37" s="6">
        <f t="shared" si="10"/>
        <v>0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25">
      <c r="A39" s="4" t="s">
        <v>102</v>
      </c>
      <c r="C39" s="6">
        <f>C33*(1-Inputs!B22)</f>
        <v>1477.3605153007923</v>
      </c>
      <c r="D39" s="6">
        <f>D33*(1-Inputs!B22)</f>
        <v>48.730223253432939</v>
      </c>
      <c r="E39" s="6">
        <f>E33*(1-Inputs!B22)</f>
        <v>0</v>
      </c>
      <c r="F39" s="6">
        <f>F33*(1-Inputs!B22)</f>
        <v>0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25">
      <c r="A40" s="4" t="s">
        <v>103</v>
      </c>
      <c r="C40" s="6">
        <f>C34*(1-Inputs!B22)</f>
        <v>1977.5014925090825</v>
      </c>
      <c r="D40" s="6">
        <f>D34*(1-Inputs!B22)</f>
        <v>53.944067639027274</v>
      </c>
      <c r="E40" s="6">
        <f>E34*(1-Inputs!B22)</f>
        <v>0</v>
      </c>
      <c r="F40" s="6">
        <f>F34*(1-Inputs!B22)</f>
        <v>0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25">
      <c r="A41" s="4" t="s">
        <v>104</v>
      </c>
      <c r="C41" s="6">
        <f>C35*(1-Inputs!B22)</f>
        <v>2457.0458864229208</v>
      </c>
      <c r="D41" s="6">
        <f>D35*(1-Inputs!B22)</f>
        <v>59.257315890008137</v>
      </c>
      <c r="E41" s="6">
        <f>E35*(1-Inputs!B22)</f>
        <v>0</v>
      </c>
      <c r="F41" s="6">
        <f>F35*(1-Inputs!B22)</f>
        <v>0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25">
      <c r="A42" s="4" t="s">
        <v>105</v>
      </c>
      <c r="C42" s="6">
        <f>C36*(1-Inputs!B22)</f>
        <v>2916.6175039832019</v>
      </c>
      <c r="D42" s="6">
        <f>D36*(1-Inputs!B22)</f>
        <v>64.671434699244728</v>
      </c>
      <c r="E42" s="6">
        <f>E36*(1-Inputs!B22)</f>
        <v>0</v>
      </c>
      <c r="F42" s="6">
        <f>F36*(1-Inputs!B22)</f>
        <v>0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25">
      <c r="A43" s="4" t="s">
        <v>106</v>
      </c>
      <c r="C43" s="6">
        <f>C37*(1-Inputs!B22)</f>
        <v>3356.8234384865018</v>
      </c>
      <c r="D43" s="6">
        <f>D37*(1-Inputs!B22)</f>
        <v>70.187910153077055</v>
      </c>
      <c r="E43" s="6">
        <f>E37*(1-Inputs!B22)</f>
        <v>0</v>
      </c>
      <c r="F43" s="6">
        <f>F37*(1-Inputs!B22)</f>
        <v>0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25">
      <c r="A45" s="4" t="s">
        <v>107</v>
      </c>
      <c r="C45" s="6">
        <f t="shared" ref="C45:J45" si="11">C21*IF(ISBLANK(C26),C12,C12+(C26-C12)*(0)/4)</f>
        <v>4032.2051000000006</v>
      </c>
      <c r="D45" s="6">
        <f t="shared" si="11"/>
        <v>0</v>
      </c>
      <c r="E45" s="6">
        <f t="shared" si="11"/>
        <v>0</v>
      </c>
      <c r="F45" s="6">
        <f t="shared" si="11"/>
        <v>0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25">
      <c r="A46" s="4" t="s">
        <v>108</v>
      </c>
      <c r="C46" s="6">
        <f t="shared" ref="C46:J46" si="12">C22*IF(ISBLANK(C26),C12,C12+(C26-C12)*(1)/4)</f>
        <v>3951.5609979999999</v>
      </c>
      <c r="D46" s="6">
        <f t="shared" si="12"/>
        <v>0</v>
      </c>
      <c r="E46" s="6">
        <f t="shared" si="12"/>
        <v>0</v>
      </c>
      <c r="F46" s="6">
        <f t="shared" si="12"/>
        <v>0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25">
      <c r="A47" s="4" t="s">
        <v>109</v>
      </c>
      <c r="C47" s="6">
        <f t="shared" ref="C47:J47" si="13">C23*IF(ISBLANK(C26),C12,C12+(C26-C12)*(2)/4)</f>
        <v>3872.5297780400001</v>
      </c>
      <c r="D47" s="6">
        <f t="shared" si="13"/>
        <v>0</v>
      </c>
      <c r="E47" s="6">
        <f t="shared" si="13"/>
        <v>0</v>
      </c>
      <c r="F47" s="6">
        <f t="shared" si="13"/>
        <v>0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25">
      <c r="A48" s="4" t="s">
        <v>110</v>
      </c>
      <c r="C48" s="6">
        <f t="shared" ref="C48:J48" si="14">C24*IF(ISBLANK(C26),C12,C12+(C26-C12)*(3)/4)</f>
        <v>3795.0791824792</v>
      </c>
      <c r="D48" s="6">
        <f t="shared" si="14"/>
        <v>0</v>
      </c>
      <c r="E48" s="6">
        <f t="shared" si="14"/>
        <v>0</v>
      </c>
      <c r="F48" s="6">
        <f t="shared" si="14"/>
        <v>0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25">
      <c r="A49" s="4" t="s">
        <v>111</v>
      </c>
      <c r="C49" s="6">
        <f t="shared" ref="C49:J49" si="15">C25*IF(ISBLANK(C26),C12,C12+(C26-C12)*(4)/4)</f>
        <v>3719.1775988296154</v>
      </c>
      <c r="D49" s="6">
        <f t="shared" si="15"/>
        <v>0</v>
      </c>
      <c r="E49" s="6">
        <f t="shared" si="15"/>
        <v>0</v>
      </c>
      <c r="F49" s="6">
        <f t="shared" si="15"/>
        <v>0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25">
      <c r="A51" s="4" t="s">
        <v>112</v>
      </c>
      <c r="C51" s="6">
        <f t="shared" ref="C51:J55" si="16">C39-C45</f>
        <v>-2554.8445846992081</v>
      </c>
      <c r="D51" s="6">
        <f t="shared" si="16"/>
        <v>48.730223253432939</v>
      </c>
      <c r="E51" s="6">
        <f t="shared" si="16"/>
        <v>0</v>
      </c>
      <c r="F51" s="6">
        <f t="shared" si="16"/>
        <v>0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25">
      <c r="A52" s="4" t="s">
        <v>113</v>
      </c>
      <c r="C52" s="6">
        <f t="shared" si="16"/>
        <v>-1974.0595054909174</v>
      </c>
      <c r="D52" s="6">
        <f t="shared" si="16"/>
        <v>53.944067639027274</v>
      </c>
      <c r="E52" s="6">
        <f t="shared" si="16"/>
        <v>0</v>
      </c>
      <c r="F52" s="6">
        <f t="shared" si="16"/>
        <v>0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25">
      <c r="A53" s="4" t="s">
        <v>114</v>
      </c>
      <c r="C53" s="6">
        <f t="shared" si="16"/>
        <v>-1415.4838916170793</v>
      </c>
      <c r="D53" s="6">
        <f t="shared" si="16"/>
        <v>59.257315890008137</v>
      </c>
      <c r="E53" s="6">
        <f t="shared" si="16"/>
        <v>0</v>
      </c>
      <c r="F53" s="6">
        <f t="shared" si="16"/>
        <v>0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25">
      <c r="A54" s="4" t="s">
        <v>115</v>
      </c>
      <c r="C54" s="6">
        <f t="shared" si="16"/>
        <v>-878.46167849599806</v>
      </c>
      <c r="D54" s="6">
        <f t="shared" si="16"/>
        <v>64.671434699244728</v>
      </c>
      <c r="E54" s="6">
        <f t="shared" si="16"/>
        <v>0</v>
      </c>
      <c r="F54" s="6">
        <f t="shared" si="16"/>
        <v>0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25">
      <c r="A55" s="4" t="s">
        <v>116</v>
      </c>
      <c r="C55" s="6">
        <f t="shared" si="16"/>
        <v>-362.35416034311356</v>
      </c>
      <c r="D55" s="6">
        <f t="shared" si="16"/>
        <v>70.187910153077055</v>
      </c>
      <c r="E55" s="6">
        <f t="shared" si="16"/>
        <v>0</v>
      </c>
      <c r="F55" s="6">
        <f t="shared" si="16"/>
        <v>0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25">
      <c r="A57" s="4" t="s">
        <v>117</v>
      </c>
      <c r="C57" s="6">
        <f t="shared" ref="C57:J57" si="17">C51/((1+C16))</f>
        <v>-2345.9747141792704</v>
      </c>
      <c r="D57" s="6">
        <f t="shared" si="17"/>
        <v>44.746311479578203</v>
      </c>
      <c r="E57" s="6">
        <f t="shared" si="17"/>
        <v>0</v>
      </c>
      <c r="F57" s="6">
        <f t="shared" si="17"/>
        <v>0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25">
      <c r="A58" s="4" t="s">
        <v>118</v>
      </c>
      <c r="C58" s="6">
        <f t="shared" ref="C58:J58" si="18">C52/((1+C16)*(1+C16+(C104-C16)*1/5))</f>
        <v>-1669.4350481151664</v>
      </c>
      <c r="D58" s="6">
        <f t="shared" si="18"/>
        <v>45.619758119749157</v>
      </c>
      <c r="E58" s="6">
        <f t="shared" si="18"/>
        <v>0</v>
      </c>
      <c r="F58" s="6">
        <f t="shared" si="18"/>
        <v>0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25">
      <c r="A59" s="4" t="s">
        <v>119</v>
      </c>
      <c r="C59" s="6">
        <f t="shared" ref="C59:J59" si="19">C53/((1+C16)*(1+C16+(C104-C16)*1/5)*(1+C16+(C104-C16)*2/5))</f>
        <v>-1105.7580868274936</v>
      </c>
      <c r="D59" s="6">
        <f t="shared" si="19"/>
        <v>46.291064587256805</v>
      </c>
      <c r="E59" s="6">
        <f t="shared" si="19"/>
        <v>0</v>
      </c>
      <c r="F59" s="6">
        <f t="shared" si="19"/>
        <v>0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25">
      <c r="A60" s="4" t="s">
        <v>120</v>
      </c>
      <c r="C60" s="6">
        <f t="shared" ref="C60:J60" si="20">C54/((1+C16)*(1+C16+(C104-C16)*1/5)*(1+C16+(C104-C16)*2/5)*(1+C16+(C104-C16)*3/5))</f>
        <v>-635.80399767357756</v>
      </c>
      <c r="D60" s="6">
        <f t="shared" si="20"/>
        <v>46.807228731324606</v>
      </c>
      <c r="E60" s="6">
        <f t="shared" si="20"/>
        <v>0</v>
      </c>
      <c r="F60" s="6">
        <f t="shared" si="20"/>
        <v>0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25">
      <c r="A61" s="4" t="s">
        <v>121</v>
      </c>
      <c r="C61" s="6">
        <f t="shared" ref="C61:J61" si="21">C55/((1+C16)*(1+C16+(C104-C16)*1/5)*(1+C16+(C104-C16)*2/5)*(1+C16+(C104-C16)*3/5)*(1+C16+(C104-C16)*4/5))</f>
        <v>-243.71494404299179</v>
      </c>
      <c r="D61" s="6">
        <f t="shared" si="21"/>
        <v>47.20752365380369</v>
      </c>
      <c r="E61" s="6">
        <f t="shared" si="21"/>
        <v>0</v>
      </c>
      <c r="F61" s="6">
        <f t="shared" si="21"/>
        <v>0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25">
      <c r="A62" s="3" t="s">
        <v>122</v>
      </c>
    </row>
    <row r="63" spans="1:10" x14ac:dyDescent="0.25">
      <c r="A63" s="4" t="s">
        <v>123</v>
      </c>
      <c r="C63" s="6">
        <f t="shared" ref="C63:J63" si="22">C25*(1+(C6+(C13-C6)*1/5))</f>
        <v>104828.89457311443</v>
      </c>
      <c r="D63" s="6">
        <f t="shared" si="22"/>
        <v>3338.0473402200428</v>
      </c>
      <c r="E63" s="6">
        <f t="shared" si="22"/>
        <v>0</v>
      </c>
      <c r="F63" s="6">
        <f t="shared" si="22"/>
        <v>0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25">
      <c r="A64" s="4" t="s">
        <v>124</v>
      </c>
      <c r="C64" s="6">
        <f t="shared" ref="C64:J64" si="23">C63*(1+(C6+(C13-C6)*2/5))</f>
        <v>104097.49425868863</v>
      </c>
      <c r="D64" s="6">
        <f t="shared" si="23"/>
        <v>3374.8423457406666</v>
      </c>
      <c r="E64" s="6">
        <f t="shared" si="23"/>
        <v>0</v>
      </c>
      <c r="F64" s="6">
        <f t="shared" si="23"/>
        <v>0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25">
      <c r="A65" s="4" t="s">
        <v>125</v>
      </c>
      <c r="C65" s="6">
        <f t="shared" ref="C65:J65" si="24">C64*(1+(C6+(C13-C6)*3/5))</f>
        <v>104049.02329504247</v>
      </c>
      <c r="D65" s="6">
        <f t="shared" si="24"/>
        <v>3413.7690245115773</v>
      </c>
      <c r="E65" s="6">
        <f t="shared" si="24"/>
        <v>0</v>
      </c>
      <c r="F65" s="6">
        <f t="shared" si="24"/>
        <v>0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25">
      <c r="A66" s="4" t="s">
        <v>126</v>
      </c>
      <c r="C66" s="6">
        <f t="shared" ref="C66:J66" si="25">C65*(1+(C6+(C13-C6)*4/5))</f>
        <v>104678.08559155703</v>
      </c>
      <c r="D66" s="6">
        <f t="shared" si="25"/>
        <v>3454.8906923885424</v>
      </c>
      <c r="E66" s="6">
        <f t="shared" si="25"/>
        <v>0</v>
      </c>
      <c r="F66" s="6">
        <f t="shared" si="25"/>
        <v>0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25">
      <c r="A67" s="4" t="s">
        <v>127</v>
      </c>
      <c r="C67" s="6">
        <f t="shared" ref="C67:J67" si="26">C66*(1+(C6+(C13-C6)*5/5))</f>
        <v>105992.55789168976</v>
      </c>
      <c r="D67" s="6">
        <f t="shared" si="26"/>
        <v>3498.2747310769364</v>
      </c>
      <c r="E67" s="6">
        <f t="shared" si="26"/>
        <v>0</v>
      </c>
      <c r="F67" s="6">
        <f t="shared" si="26"/>
        <v>0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25">
      <c r="A69" s="4" t="s">
        <v>128</v>
      </c>
      <c r="C69" s="11">
        <f t="shared" ref="C69:J69" si="27">IF(ISBLANK(C9),C7,C9)</f>
        <v>4.5000000000000012E-2</v>
      </c>
      <c r="D69" s="11">
        <f t="shared" si="27"/>
        <v>3.0267318681082171E-2</v>
      </c>
      <c r="E69" s="11">
        <f t="shared" si="27"/>
        <v>0</v>
      </c>
      <c r="F69" s="11">
        <f t="shared" si="27"/>
        <v>0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25">
      <c r="A70" s="4" t="s">
        <v>129</v>
      </c>
      <c r="C70" s="11">
        <f t="shared" ref="C70:J70" si="28">IF(ISBLANK(C9),C7,C9)</f>
        <v>4.5000000000000012E-2</v>
      </c>
      <c r="D70" s="11">
        <f t="shared" si="28"/>
        <v>3.0267318681082171E-2</v>
      </c>
      <c r="E70" s="11">
        <f t="shared" si="28"/>
        <v>0</v>
      </c>
      <c r="F70" s="11">
        <f t="shared" si="28"/>
        <v>0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25">
      <c r="A71" s="4" t="s">
        <v>130</v>
      </c>
      <c r="C71" s="11">
        <f t="shared" ref="C71:J71" si="29">IF(ISBLANK(C9),C7,C9)</f>
        <v>4.5000000000000012E-2</v>
      </c>
      <c r="D71" s="11">
        <f t="shared" si="29"/>
        <v>3.0267318681082171E-2</v>
      </c>
      <c r="E71" s="11">
        <f t="shared" si="29"/>
        <v>0</v>
      </c>
      <c r="F71" s="11">
        <f t="shared" si="29"/>
        <v>0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25">
      <c r="A72" s="4" t="s">
        <v>131</v>
      </c>
      <c r="C72" s="11">
        <f t="shared" ref="C72:J72" si="30">IF(ISBLANK(C9),C7,C9)</f>
        <v>4.5000000000000012E-2</v>
      </c>
      <c r="D72" s="11">
        <f t="shared" si="30"/>
        <v>3.0267318681082171E-2</v>
      </c>
      <c r="E72" s="11">
        <f t="shared" si="30"/>
        <v>0</v>
      </c>
      <c r="F72" s="11">
        <f t="shared" si="30"/>
        <v>0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25">
      <c r="A73" s="4" t="s">
        <v>132</v>
      </c>
      <c r="C73" s="11">
        <f t="shared" ref="C73:J73" si="31">IF(ISBLANK(C9),C7,C9)</f>
        <v>4.5000000000000012E-2</v>
      </c>
      <c r="D73" s="11">
        <f t="shared" si="31"/>
        <v>3.0267318681082171E-2</v>
      </c>
      <c r="E73" s="11">
        <f t="shared" si="31"/>
        <v>0</v>
      </c>
      <c r="F73" s="11">
        <f t="shared" si="31"/>
        <v>0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25">
      <c r="A75" s="4" t="s">
        <v>133</v>
      </c>
      <c r="C75" s="6">
        <f t="shared" ref="C75:J79" si="32">C63*C69</f>
        <v>4717.3002557901509</v>
      </c>
      <c r="D75" s="6">
        <f t="shared" si="32"/>
        <v>101.03374261897875</v>
      </c>
      <c r="E75" s="6">
        <f t="shared" si="32"/>
        <v>0</v>
      </c>
      <c r="F75" s="6">
        <f t="shared" si="32"/>
        <v>0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25">
      <c r="A76" s="4" t="s">
        <v>134</v>
      </c>
      <c r="C76" s="6">
        <f t="shared" si="32"/>
        <v>4684.3872416409895</v>
      </c>
      <c r="D76" s="6">
        <f t="shared" si="32"/>
        <v>102.14742877694366</v>
      </c>
      <c r="E76" s="6">
        <f t="shared" si="32"/>
        <v>0</v>
      </c>
      <c r="F76" s="6">
        <f t="shared" si="32"/>
        <v>0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25">
      <c r="A77" s="4" t="s">
        <v>135</v>
      </c>
      <c r="C77" s="6">
        <f t="shared" si="32"/>
        <v>4682.206048276912</v>
      </c>
      <c r="D77" s="6">
        <f t="shared" si="32"/>
        <v>103.32563496849892</v>
      </c>
      <c r="E77" s="6">
        <f t="shared" si="32"/>
        <v>0</v>
      </c>
      <c r="F77" s="6">
        <f t="shared" si="32"/>
        <v>0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25">
      <c r="A78" s="4" t="s">
        <v>136</v>
      </c>
      <c r="C78" s="6">
        <f t="shared" si="32"/>
        <v>4710.5138516200677</v>
      </c>
      <c r="D78" s="6">
        <f t="shared" si="32"/>
        <v>104.57027759482865</v>
      </c>
      <c r="E78" s="6">
        <f t="shared" si="32"/>
        <v>0</v>
      </c>
      <c r="F78" s="6">
        <f t="shared" si="32"/>
        <v>0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25">
      <c r="A79" s="4" t="s">
        <v>137</v>
      </c>
      <c r="C79" s="6">
        <f t="shared" si="32"/>
        <v>4769.6651051260405</v>
      </c>
      <c r="D79" s="6">
        <f t="shared" si="32"/>
        <v>105.88339611948267</v>
      </c>
      <c r="E79" s="6">
        <f t="shared" si="32"/>
        <v>0</v>
      </c>
      <c r="F79" s="6">
        <f t="shared" si="32"/>
        <v>0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25">
      <c r="A81" s="4" t="s">
        <v>138</v>
      </c>
      <c r="C81" s="6">
        <f>C75*(1-Inputs!B22)</f>
        <v>3311.5447795646855</v>
      </c>
      <c r="D81" s="6">
        <f>D75*(1-Inputs!B22)</f>
        <v>70.925687318523075</v>
      </c>
      <c r="E81" s="6">
        <f>E75*(1-Inputs!B22)</f>
        <v>0</v>
      </c>
      <c r="F81" s="6">
        <f>F75*(1-Inputs!B22)</f>
        <v>0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25">
      <c r="A82" s="4" t="s">
        <v>139</v>
      </c>
      <c r="C82" s="6">
        <f>C76*(1-Inputs!B22)</f>
        <v>3288.4398436319743</v>
      </c>
      <c r="D82" s="6">
        <f>D76*(1-Inputs!B22)</f>
        <v>71.707495001414443</v>
      </c>
      <c r="E82" s="6">
        <f>E76*(1-Inputs!B22)</f>
        <v>0</v>
      </c>
      <c r="F82" s="6">
        <f>F76*(1-Inputs!B22)</f>
        <v>0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25">
      <c r="A83" s="4" t="s">
        <v>140</v>
      </c>
      <c r="C83" s="6">
        <f>C77*(1-Inputs!B22)</f>
        <v>3286.9086458903921</v>
      </c>
      <c r="D83" s="6">
        <f>D77*(1-Inputs!B22)</f>
        <v>72.534595747886229</v>
      </c>
      <c r="E83" s="6">
        <f>E77*(1-Inputs!B22)</f>
        <v>0</v>
      </c>
      <c r="F83" s="6">
        <f>F77*(1-Inputs!B22)</f>
        <v>0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25">
      <c r="A84" s="4" t="s">
        <v>141</v>
      </c>
      <c r="C84" s="6">
        <f>C78*(1-Inputs!B22)</f>
        <v>3306.7807238372875</v>
      </c>
      <c r="D84" s="6">
        <f>D78*(1-Inputs!B22)</f>
        <v>73.408334871569707</v>
      </c>
      <c r="E84" s="6">
        <f>E78*(1-Inputs!B22)</f>
        <v>0</v>
      </c>
      <c r="F84" s="6">
        <f>F78*(1-Inputs!B22)</f>
        <v>0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25">
      <c r="A85" s="4" t="s">
        <v>142</v>
      </c>
      <c r="C85" s="6">
        <f>C79*(1-Inputs!B22)</f>
        <v>3348.3049037984802</v>
      </c>
      <c r="D85" s="6">
        <f>D79*(1-Inputs!B22)</f>
        <v>74.330144075876831</v>
      </c>
      <c r="E85" s="6">
        <f>E79*(1-Inputs!B22)</f>
        <v>0</v>
      </c>
      <c r="F85" s="6">
        <f>F79*(1-Inputs!B22)</f>
        <v>0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25">
      <c r="A87" s="4" t="s">
        <v>143</v>
      </c>
      <c r="C87" s="6">
        <f t="shared" ref="C87:J87" si="33">C63*MAX(IF(ISBLANK(C26),C12,C26),0)</f>
        <v>3669.0113100590056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25">
      <c r="A88" s="4" t="s">
        <v>144</v>
      </c>
      <c r="C88" s="6">
        <f t="shared" ref="C88:J88" si="34">C64*MAX(IF(ISBLANK(C26),C12,C26),0)</f>
        <v>3643.4122990541023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25">
      <c r="A89" s="4" t="s">
        <v>145</v>
      </c>
      <c r="C89" s="6">
        <f t="shared" ref="C89:J89" si="35">C65*MAX(IF(ISBLANK(C26),C12,C26),0)</f>
        <v>3641.7158153264868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25">
      <c r="A90" s="4" t="s">
        <v>146</v>
      </c>
      <c r="C90" s="6">
        <f t="shared" ref="C90:J90" si="36">C66*MAX(IF(ISBLANK(C26),C12,C26),0)</f>
        <v>3663.7329957044963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25">
      <c r="A91" s="4" t="s">
        <v>147</v>
      </c>
      <c r="C91" s="6">
        <f t="shared" ref="C91:J91" si="37">C67*MAX(IF(ISBLANK(C26),C12,C26),0)</f>
        <v>3709.7395262091422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25">
      <c r="A93" s="4" t="s">
        <v>148</v>
      </c>
      <c r="C93" s="6">
        <f t="shared" ref="C93:J97" si="38">C81-C87</f>
        <v>-357.46653049432007</v>
      </c>
      <c r="D93" s="6">
        <f t="shared" si="38"/>
        <v>70.925687318523075</v>
      </c>
      <c r="E93" s="6">
        <f t="shared" si="38"/>
        <v>0</v>
      </c>
      <c r="F93" s="6">
        <f t="shared" si="38"/>
        <v>0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25">
      <c r="A94" s="4" t="s">
        <v>149</v>
      </c>
      <c r="C94" s="6">
        <f t="shared" si="38"/>
        <v>-354.97245542212795</v>
      </c>
      <c r="D94" s="6">
        <f t="shared" si="38"/>
        <v>71.707495001414443</v>
      </c>
      <c r="E94" s="6">
        <f t="shared" si="38"/>
        <v>0</v>
      </c>
      <c r="F94" s="6">
        <f t="shared" si="38"/>
        <v>0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25">
      <c r="A95" s="4" t="s">
        <v>150</v>
      </c>
      <c r="C95" s="6">
        <f t="shared" si="38"/>
        <v>-354.80716943609468</v>
      </c>
      <c r="D95" s="6">
        <f t="shared" si="38"/>
        <v>72.534595747886229</v>
      </c>
      <c r="E95" s="6">
        <f t="shared" si="38"/>
        <v>0</v>
      </c>
      <c r="F95" s="6">
        <f t="shared" si="38"/>
        <v>0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25">
      <c r="A96" s="4" t="s">
        <v>151</v>
      </c>
      <c r="C96" s="6">
        <f t="shared" si="38"/>
        <v>-356.95227186720876</v>
      </c>
      <c r="D96" s="6">
        <f t="shared" si="38"/>
        <v>73.408334871569707</v>
      </c>
      <c r="E96" s="6">
        <f t="shared" si="38"/>
        <v>0</v>
      </c>
      <c r="F96" s="6">
        <f t="shared" si="38"/>
        <v>0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25">
      <c r="A97" s="4" t="s">
        <v>152</v>
      </c>
      <c r="C97" s="6">
        <f t="shared" si="38"/>
        <v>-361.43462241066209</v>
      </c>
      <c r="D97" s="6">
        <f t="shared" si="38"/>
        <v>74.330144075876831</v>
      </c>
      <c r="E97" s="6">
        <f t="shared" si="38"/>
        <v>0</v>
      </c>
      <c r="F97" s="6">
        <f t="shared" si="38"/>
        <v>0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25">
      <c r="A99" s="4" t="s">
        <v>153</v>
      </c>
      <c r="C99" s="6">
        <f t="shared" ref="C99:J99" si="39">C93/(((1+C16)*(1+C16+(C104-C16)*1/5)*(1+C16+(C104-C16)*2/5)*(1+C16+(C104-C16)*3/5)*(1+C16+(C104-C16)*4/5))*(1+C104)^1)</f>
        <v>-224.09900282612037</v>
      </c>
      <c r="D99" s="6">
        <f t="shared" si="39"/>
        <v>44.463955215216394</v>
      </c>
      <c r="E99" s="6">
        <f t="shared" si="39"/>
        <v>0</v>
      </c>
      <c r="F99" s="6">
        <f t="shared" si="39"/>
        <v>0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25">
      <c r="A100" s="4" t="s">
        <v>154</v>
      </c>
      <c r="C100" s="6">
        <f t="shared" ref="C100:J100" si="40">C94/(((1+C16)*(1+C16+(C104-C16)*1/5)*(1+C16+(C104-C16)*2/5)*(1+C16+(C104-C16)*3/5)*(1+C16+(C104-C16)*4/5))*(1+C104)^2)</f>
        <v>-207.42200337241422</v>
      </c>
      <c r="D100" s="6">
        <f t="shared" si="40"/>
        <v>41.901032158461888</v>
      </c>
      <c r="E100" s="6">
        <f t="shared" si="40"/>
        <v>0</v>
      </c>
      <c r="F100" s="6">
        <f t="shared" si="40"/>
        <v>0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25">
      <c r="A101" s="4" t="s">
        <v>155</v>
      </c>
      <c r="C101" s="6">
        <f t="shared" ref="C101:J101" si="41">C95/(((1+C16)*(1+C16+(C104-C16)*1/5)*(1+C16+(C104-C16)*2/5)*(1+C16+(C104-C16)*3/5)*(1+C16+(C104-C16)*4/5))*(1+C104)^3)</f>
        <v>-193.24496522011978</v>
      </c>
      <c r="D101" s="6">
        <f t="shared" si="41"/>
        <v>39.505812283424994</v>
      </c>
      <c r="E101" s="6">
        <f t="shared" si="41"/>
        <v>0</v>
      </c>
      <c r="F101" s="6">
        <f t="shared" si="41"/>
        <v>0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25">
      <c r="A102" s="4" t="s">
        <v>156</v>
      </c>
      <c r="C102" s="6">
        <f t="shared" ref="C102:J102" si="42">C96/(((1+C16)*(1+C16+(C104-C16)*1/5)*(1+C16+(C104-C16)*2/5)*(1+C16+(C104-C16)*3/5)*(1+C16+(C104-C16)*4/5))*(1+C104)^4)</f>
        <v>-181.20975876892487</v>
      </c>
      <c r="D102" s="6">
        <f t="shared" si="42"/>
        <v>37.266345397163484</v>
      </c>
      <c r="E102" s="6">
        <f t="shared" si="42"/>
        <v>0</v>
      </c>
      <c r="F102" s="6">
        <f t="shared" si="42"/>
        <v>0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25">
      <c r="A103" s="4" t="s">
        <v>157</v>
      </c>
      <c r="C103" s="6">
        <f t="shared" ref="C103:J103" si="43">C97/(((1+C16)*(1+C16+(C104-C16)*1/5)*(1+C16+(C104-C16)*2/5)*(1+C16+(C104-C16)*3/5)*(1+C16+(C104-C16)*4/5))*(1+C104)^5)</f>
        <v>-171.02390353067429</v>
      </c>
      <c r="D103" s="6">
        <f t="shared" si="43"/>
        <v>35.171592873607551</v>
      </c>
      <c r="E103" s="6">
        <f t="shared" si="43"/>
        <v>0</v>
      </c>
      <c r="F103" s="6">
        <f t="shared" si="43"/>
        <v>0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25">
      <c r="A104" s="4" t="s">
        <v>158</v>
      </c>
      <c r="C104" s="11">
        <f>MAX((Inputs!B18+((1+(1-Inputs!B22)*(Inputs!B36/(1-Inputs!B36)))/(1+(1-Inputs!B22)*0.25))*Inputs!B19+IF(ISBLANK(C17),Inputs!B24,C17)+Inputs!B25+Inputs!B39)*(1-Inputs!B36)+Inputs!B38*Inputs!B36,C15)</f>
        <v>7.2863249680986814E-2</v>
      </c>
      <c r="D104" s="11">
        <f>MAX((Inputs!B18+((1+(1-Inputs!B22)*(Inputs!B36/(1-Inputs!B36)))/(1+(1-Inputs!B22)*0.25))*Inputs!B19+IF(ISBLANK(D17),Inputs!B24,D17)+Inputs!B25+Inputs!B39)*(1-Inputs!B36)+Inputs!B38*Inputs!B36,D15)</f>
        <v>7.2863249680986814E-2</v>
      </c>
      <c r="E104" s="11">
        <f>MAX((Inputs!B18+((1+(1-Inputs!B22)*(Inputs!B36/(1-Inputs!B36)))/(1+(1-Inputs!B22)*0.25))*Inputs!B19+IF(ISBLANK(E17),Inputs!B24,E17)+Inputs!B25+Inputs!B39)*(1-Inputs!B36)+Inputs!B38*Inputs!B36,E15)</f>
        <v>7.2863249680986814E-2</v>
      </c>
      <c r="F104" s="11">
        <f>MAX((Inputs!B18+((1+(1-Inputs!B22)*(Inputs!B36/(1-Inputs!B36)))/(1+(1-Inputs!B22)*0.25))*Inputs!B19+IF(ISBLANK(F17),Inputs!B24,F17)+Inputs!B25+Inputs!B39)*(1-Inputs!B36)+Inputs!B38*Inputs!B36,F15)</f>
        <v>7.2863249680986814E-2</v>
      </c>
      <c r="G104" s="11">
        <f>MAX((Inputs!B18+((1+(1-Inputs!B22)*(Inputs!B36/(1-Inputs!B36)))/(1+(1-Inputs!B22)*0.25))*Inputs!B19+IF(ISBLANK(G17),Inputs!B24,G17)+Inputs!B25+Inputs!B39)*(1-Inputs!B36)+Inputs!B38*Inputs!B36,G15)</f>
        <v>7.2863249680986814E-2</v>
      </c>
      <c r="H104" s="11">
        <f>MAX((Inputs!B18+((1+(1-Inputs!B22)*(Inputs!B36/(1-Inputs!B36)))/(1+(1-Inputs!B22)*0.25))*Inputs!B19+IF(ISBLANK(H17),Inputs!B24,H17)+Inputs!B25+Inputs!B39)*(1-Inputs!B36)+Inputs!B38*Inputs!B36,H15)</f>
        <v>7.2863249680986814E-2</v>
      </c>
      <c r="I104" s="11">
        <f>MAX((Inputs!B18+((1+(1-Inputs!B22)*(Inputs!B36/(1-Inputs!B36)))/(1+(1-Inputs!B22)*0.25))*Inputs!B19+IF(ISBLANK(I17),Inputs!B24,I17)+Inputs!B25+Inputs!B39)*(1-Inputs!B36)+Inputs!B38*Inputs!B36,I15)</f>
        <v>7.2863249680986814E-2</v>
      </c>
      <c r="J104" s="11">
        <f>MAX((Inputs!B18+((1+(1-Inputs!B22)*(Inputs!B36/(1-Inputs!B36)))/(1+(1-Inputs!B22)*0.25))*Inputs!B19+IF(ISBLANK(J17),Inputs!B24,J17)+Inputs!B25+Inputs!B39)*(1-Inputs!B36)+Inputs!B38*Inputs!B36,J15)</f>
        <v>7.2863249680986814E-2</v>
      </c>
    </row>
    <row r="105" spans="1:11" x14ac:dyDescent="0.25">
      <c r="A105" s="4" t="s">
        <v>159</v>
      </c>
      <c r="C105" s="6">
        <f t="shared" ref="C105:J105" si="44">SUM(C57:C61,C99:C103)</f>
        <v>-6977.6864245567522</v>
      </c>
      <c r="D105" s="6">
        <f t="shared" si="44"/>
        <v>428.98062449958672</v>
      </c>
      <c r="E105" s="6">
        <f t="shared" si="44"/>
        <v>0</v>
      </c>
      <c r="F105" s="6">
        <f t="shared" si="44"/>
        <v>0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25">
      <c r="A106" s="4" t="s">
        <v>160</v>
      </c>
      <c r="C106" s="6">
        <f t="shared" ref="C106:J106" si="45">IF(C5=0,0,C97*(1+C13)/(C104-C13))</f>
        <v>-6068.6077457371175</v>
      </c>
      <c r="D106" s="6">
        <f t="shared" si="45"/>
        <v>1248.0278869579474</v>
      </c>
      <c r="E106" s="6">
        <f t="shared" si="45"/>
        <v>0</v>
      </c>
      <c r="F106" s="6">
        <f t="shared" si="45"/>
        <v>0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25">
      <c r="A107" s="4" t="s">
        <v>161</v>
      </c>
      <c r="C107" s="6">
        <f t="shared" ref="C107:J107" si="46">C106/(((1+C16)*(1+C16+(C104-C16)*1/5)*(1+C16+(C104-C16)*2/5)*(1+C16+(C104-C16)*3/5)*(1+C16+(C104-C16)*4/5))*(1+C104)^5)</f>
        <v>-2871.5483280215794</v>
      </c>
      <c r="D107" s="6">
        <f t="shared" si="46"/>
        <v>590.54276405256428</v>
      </c>
      <c r="E107" s="6">
        <f t="shared" si="46"/>
        <v>0</v>
      </c>
      <c r="F107" s="6">
        <f t="shared" si="46"/>
        <v>0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25">
      <c r="A109" s="19" t="s">
        <v>162</v>
      </c>
      <c r="C109" s="20">
        <f t="shared" ref="C109:J109" si="47">C105+C107</f>
        <v>-9849.2347525783316</v>
      </c>
      <c r="D109" s="20">
        <f t="shared" si="47"/>
        <v>1019.523388552151</v>
      </c>
      <c r="E109" s="20">
        <f t="shared" si="47"/>
        <v>0</v>
      </c>
      <c r="F109" s="20">
        <f t="shared" si="47"/>
        <v>0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-8829.7113640261814</v>
      </c>
    </row>
    <row r="110" spans="1:11" x14ac:dyDescent="0.25">
      <c r="A110" s="4" t="s">
        <v>163</v>
      </c>
      <c r="K110" s="11">
        <f>IFERROR(SUMPRODUCT(C109:J109,C16:J16)/SUM(C109:J109),0)</f>
        <v>8.9033299999999996E-2</v>
      </c>
    </row>
    <row r="111" spans="1:11" x14ac:dyDescent="0.25">
      <c r="A111" s="4" t="s">
        <v>164</v>
      </c>
      <c r="K111" s="5">
        <v>-13026</v>
      </c>
    </row>
    <row r="112" spans="1:11" x14ac:dyDescent="0.25">
      <c r="A112" s="4" t="s">
        <v>165</v>
      </c>
      <c r="K112" s="5">
        <v>1934</v>
      </c>
    </row>
    <row r="113" spans="1:11" x14ac:dyDescent="0.25">
      <c r="A113" s="4" t="s">
        <v>166</v>
      </c>
      <c r="K113" s="5">
        <v>0</v>
      </c>
    </row>
    <row r="114" spans="1:11" x14ac:dyDescent="0.25">
      <c r="A114" s="4" t="s">
        <v>167</v>
      </c>
      <c r="K114" s="5">
        <v>0</v>
      </c>
    </row>
    <row r="115" spans="1:11" x14ac:dyDescent="0.25">
      <c r="A115" s="4" t="s">
        <v>168</v>
      </c>
      <c r="K115" s="5">
        <v>16744</v>
      </c>
    </row>
    <row r="116" spans="1:11" x14ac:dyDescent="0.25">
      <c r="A116" s="4" t="s">
        <v>169</v>
      </c>
      <c r="K116" s="5">
        <v>0</v>
      </c>
    </row>
    <row r="117" spans="1:11" x14ac:dyDescent="0.25">
      <c r="A117" s="4" t="s">
        <v>170</v>
      </c>
      <c r="K117" s="5">
        <v>0</v>
      </c>
    </row>
    <row r="118" spans="1:11" x14ac:dyDescent="0.25">
      <c r="A118" s="4" t="s">
        <v>171</v>
      </c>
      <c r="K118" s="5">
        <v>-13026</v>
      </c>
    </row>
    <row r="119" spans="1:11" x14ac:dyDescent="0.25">
      <c r="A119" s="4" t="s">
        <v>172</v>
      </c>
      <c r="K119" s="20">
        <f>K109+K113+K114+K115+K116+K117+K118+K121-K111-K112</f>
        <v>5918.2886359738186</v>
      </c>
    </row>
    <row r="120" spans="1:11" x14ac:dyDescent="0.25">
      <c r="A120" s="4" t="s">
        <v>173</v>
      </c>
      <c r="K120" s="6">
        <f>Inputs!B11</f>
        <v>607.13</v>
      </c>
    </row>
    <row r="121" spans="1:11" x14ac:dyDescent="0.25">
      <c r="A121" s="4" t="s">
        <v>174</v>
      </c>
      <c r="K121" s="21">
        <f>-(Inputs!B41+Inputs!B42)</f>
        <v>-62</v>
      </c>
    </row>
    <row r="122" spans="1:11" ht="15.75" customHeight="1" x14ac:dyDescent="0.25">
      <c r="A122" s="4" t="s">
        <v>175</v>
      </c>
      <c r="K122" s="22">
        <f>K119/K120</f>
        <v>9.7479759458004356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140625" defaultRowHeight="15" x14ac:dyDescent="0.25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75" customHeight="1" x14ac:dyDescent="0.3">
      <c r="A1" s="1" t="s">
        <v>186</v>
      </c>
    </row>
    <row r="2" spans="1:5" x14ac:dyDescent="0.25">
      <c r="A2" s="2" t="s">
        <v>187</v>
      </c>
    </row>
    <row r="3" spans="1:5" x14ac:dyDescent="0.25">
      <c r="A3" s="2" t="s">
        <v>188</v>
      </c>
    </row>
    <row r="4" spans="1:5" x14ac:dyDescent="0.25">
      <c r="A4" s="23" t="s">
        <v>189</v>
      </c>
      <c r="B4" s="23" t="s">
        <v>190</v>
      </c>
      <c r="C4" s="23" t="s">
        <v>191</v>
      </c>
      <c r="D4" s="23" t="s">
        <v>192</v>
      </c>
      <c r="E4" s="23" t="s">
        <v>193</v>
      </c>
    </row>
    <row r="5" spans="1:5" ht="30" customHeight="1" x14ac:dyDescent="0.25">
      <c r="A5" s="24"/>
      <c r="B5" s="5"/>
      <c r="C5" s="7"/>
      <c r="D5" s="6" t="str">
        <f>IF(ISNUMBER(B5),B5*C5,"")</f>
        <v/>
      </c>
      <c r="E5" s="25"/>
    </row>
    <row r="6" spans="1:5" ht="30" customHeight="1" x14ac:dyDescent="0.25">
      <c r="A6" s="24"/>
      <c r="B6" s="5"/>
      <c r="C6" s="7"/>
      <c r="D6" s="6" t="str">
        <f>IF(ISNUMBER(B6),B6*C6,"")</f>
        <v/>
      </c>
      <c r="E6" s="25"/>
    </row>
    <row r="7" spans="1:5" ht="30" customHeight="1" x14ac:dyDescent="0.25">
      <c r="A7" s="24"/>
      <c r="B7" s="5"/>
      <c r="C7" s="7"/>
      <c r="D7" s="6" t="str">
        <f>IF(ISNUMBER(B7),B7*C7,"")</f>
        <v/>
      </c>
      <c r="E7" s="25"/>
    </row>
    <row r="8" spans="1:5" ht="30" customHeight="1" x14ac:dyDescent="0.25">
      <c r="A8" s="24"/>
      <c r="B8" s="5"/>
      <c r="C8" s="7"/>
      <c r="D8" s="6" t="str">
        <f>IF(ISNUMBER(B8),B8*C8,"")</f>
        <v/>
      </c>
      <c r="E8" s="25"/>
    </row>
    <row r="9" spans="1:5" ht="30" customHeight="1" x14ac:dyDescent="0.25">
      <c r="A9" s="24"/>
      <c r="B9" s="5"/>
      <c r="C9" s="7"/>
      <c r="D9" s="6" t="str">
        <f>IF(ISNUMBER(B9),B9*C9,"")</f>
        <v/>
      </c>
      <c r="E9" s="25"/>
    </row>
    <row r="11" spans="1:5" x14ac:dyDescent="0.25">
      <c r="C11" s="4" t="s">
        <v>194</v>
      </c>
      <c r="D11" s="20">
        <f>SUM(D5:D9)</f>
        <v>0</v>
      </c>
    </row>
    <row r="12" spans="1:5" x14ac:dyDescent="0.25">
      <c r="C12" s="4" t="s">
        <v>195</v>
      </c>
      <c r="D12" s="20">
        <f>IF(Inputs!B11&gt;0,D11/Inputs!B11,"")</f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140625" defaultRowHeight="15" x14ac:dyDescent="0.25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75" customHeight="1" x14ac:dyDescent="0.3">
      <c r="A1" s="1" t="s">
        <v>196</v>
      </c>
    </row>
    <row r="2" spans="1:12" x14ac:dyDescent="0.25">
      <c r="A2" s="2" t="s">
        <v>197</v>
      </c>
    </row>
    <row r="4" spans="1:12" x14ac:dyDescent="0.25">
      <c r="A4" s="3" t="s">
        <v>198</v>
      </c>
    </row>
    <row r="5" spans="1:12" ht="30" customHeight="1" x14ac:dyDescent="0.25">
      <c r="A5" s="26" t="s">
        <v>199</v>
      </c>
      <c r="B5" s="26" t="s">
        <v>200</v>
      </c>
      <c r="C5" s="26" t="s">
        <v>201</v>
      </c>
      <c r="D5" s="26" t="s">
        <v>202</v>
      </c>
      <c r="E5" s="26" t="s">
        <v>203</v>
      </c>
      <c r="F5" s="26" t="s">
        <v>204</v>
      </c>
      <c r="G5" s="26" t="s">
        <v>205</v>
      </c>
      <c r="H5" s="26" t="s">
        <v>206</v>
      </c>
      <c r="I5" s="26" t="s">
        <v>207</v>
      </c>
      <c r="J5" s="26" t="s">
        <v>208</v>
      </c>
      <c r="K5" s="26" t="s">
        <v>209</v>
      </c>
      <c r="L5" s="26" t="s">
        <v>210</v>
      </c>
    </row>
    <row r="6" spans="1:12" x14ac:dyDescent="0.25">
      <c r="A6" s="36" t="s">
        <v>57</v>
      </c>
      <c r="B6" s="37">
        <v>0.04</v>
      </c>
      <c r="C6" s="37">
        <v>0.02</v>
      </c>
      <c r="D6" s="37">
        <v>-0.02</v>
      </c>
      <c r="E6" s="37">
        <v>8.2770869701929567E-2</v>
      </c>
      <c r="F6" s="37">
        <v>5.2999999999999999E-2</v>
      </c>
      <c r="G6" s="37">
        <v>1.8267318681082171E-2</v>
      </c>
      <c r="H6" s="37">
        <v>2.496181161698826E-2</v>
      </c>
      <c r="I6" s="37">
        <v>0.02</v>
      </c>
      <c r="J6" s="37">
        <v>1.255728257451761E-2</v>
      </c>
      <c r="K6" s="38">
        <v>1.22</v>
      </c>
      <c r="L6" s="38">
        <v>3</v>
      </c>
    </row>
    <row r="7" spans="1:12" x14ac:dyDescent="0.25">
      <c r="A7" s="36" t="s">
        <v>58</v>
      </c>
      <c r="B7" s="37">
        <v>3.4885434850964792E-2</v>
      </c>
      <c r="C7" s="37">
        <v>0.02</v>
      </c>
      <c r="D7" s="37">
        <v>0.01</v>
      </c>
      <c r="E7" s="37">
        <v>8.6370869701929573E-2</v>
      </c>
      <c r="F7" s="37">
        <v>5.6599999999999998E-2</v>
      </c>
      <c r="G7" s="37">
        <v>2.186731868108217E-2</v>
      </c>
      <c r="H7" s="37">
        <v>2.496181161698826E-2</v>
      </c>
      <c r="I7" s="37">
        <v>0.02</v>
      </c>
      <c r="J7" s="37">
        <v>1.255728257451761E-2</v>
      </c>
      <c r="K7" s="38">
        <v>1.22</v>
      </c>
      <c r="L7" s="38">
        <v>3</v>
      </c>
    </row>
    <row r="8" spans="1:12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x14ac:dyDescent="0.2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x14ac:dyDescent="0.25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5" spans="1:12" x14ac:dyDescent="0.25">
      <c r="A15" s="3" t="s">
        <v>211</v>
      </c>
    </row>
    <row r="16" spans="1:12" x14ac:dyDescent="0.25">
      <c r="A16" s="23" t="s">
        <v>212</v>
      </c>
      <c r="B16" s="23" t="s">
        <v>213</v>
      </c>
      <c r="C16" s="23" t="s">
        <v>214</v>
      </c>
      <c r="D16" s="23" t="s">
        <v>215</v>
      </c>
      <c r="E16" s="23" t="s">
        <v>216</v>
      </c>
    </row>
    <row r="17" spans="1:5" x14ac:dyDescent="0.25">
      <c r="A17" s="4" t="s">
        <v>217</v>
      </c>
      <c r="B17" s="6">
        <f>'DCF Bull'!K122</f>
        <v>151.78984953080982</v>
      </c>
      <c r="C17" s="39">
        <v>0.2</v>
      </c>
      <c r="D17" s="28" t="s">
        <v>218</v>
      </c>
      <c r="E17" s="6">
        <f>MAX(B17,0)</f>
        <v>151.78984953080982</v>
      </c>
    </row>
    <row r="18" spans="1:5" x14ac:dyDescent="0.25">
      <c r="A18" s="4" t="s">
        <v>219</v>
      </c>
      <c r="B18" s="6">
        <f>'DCF Base'!K122</f>
        <v>74.145004925606344</v>
      </c>
      <c r="C18" s="39">
        <v>0.65</v>
      </c>
      <c r="D18" s="28" t="s">
        <v>220</v>
      </c>
      <c r="E18" s="6">
        <f>MAX(B18,0)</f>
        <v>74.145004925606344</v>
      </c>
    </row>
    <row r="19" spans="1:5" x14ac:dyDescent="0.25">
      <c r="A19" s="4" t="s">
        <v>221</v>
      </c>
      <c r="B19" s="6">
        <f>'DCF Bear'!K122</f>
        <v>9.7479759458004356</v>
      </c>
      <c r="C19" s="39">
        <v>0.15</v>
      </c>
      <c r="D19" s="28" t="s">
        <v>222</v>
      </c>
      <c r="E19" s="6">
        <f>MAX(B19,0)</f>
        <v>9.7479759458004356</v>
      </c>
    </row>
    <row r="20" spans="1:5" x14ac:dyDescent="0.25">
      <c r="A20" s="2" t="s">
        <v>223</v>
      </c>
    </row>
    <row r="21" spans="1:5" ht="15.75" customHeight="1" x14ac:dyDescent="0.25">
      <c r="A21" s="19" t="s">
        <v>224</v>
      </c>
      <c r="B21" s="22">
        <f>MAX(0,B17*C17+B18*C18+B19*C19)</f>
        <v>80.014419499676151</v>
      </c>
      <c r="D21" s="2" t="s">
        <v>225</v>
      </c>
      <c r="E21" s="6">
        <f>B17*C17+B18*C18+B19*C19</f>
        <v>80.014419499676151</v>
      </c>
    </row>
    <row r="22" spans="1:5" x14ac:dyDescent="0.25">
      <c r="A22" s="2" t="s">
        <v>226</v>
      </c>
      <c r="B22" s="40" t="s">
        <v>227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5"/>
  <sheetViews>
    <sheetView workbookViewId="0"/>
  </sheetViews>
  <sheetFormatPr baseColWidth="10" defaultColWidth="9.140625" defaultRowHeight="15" x14ac:dyDescent="0.25"/>
  <cols>
    <col min="1" max="1" width="34" customWidth="1"/>
    <col min="2" max="5" width="14" customWidth="1"/>
  </cols>
  <sheetData>
    <row r="1" spans="1:5" ht="17.25" customHeight="1" x14ac:dyDescent="0.3">
      <c r="A1" s="29" t="s">
        <v>228</v>
      </c>
    </row>
    <row r="2" spans="1:5" x14ac:dyDescent="0.25">
      <c r="A2" s="2" t="s">
        <v>229</v>
      </c>
    </row>
    <row r="4" spans="1:5" x14ac:dyDescent="0.25">
      <c r="A4" s="4" t="s">
        <v>230</v>
      </c>
      <c r="B4" s="41">
        <v>58.91</v>
      </c>
    </row>
    <row r="5" spans="1:5" x14ac:dyDescent="0.25">
      <c r="A5" s="4" t="s">
        <v>231</v>
      </c>
      <c r="B5" s="41">
        <v>80.010000000000005</v>
      </c>
    </row>
    <row r="6" spans="1:5" x14ac:dyDescent="0.25">
      <c r="A6" s="4" t="s">
        <v>232</v>
      </c>
      <c r="B6" s="30">
        <f>(B5-B4)/B4</f>
        <v>0.35817348497708384</v>
      </c>
    </row>
    <row r="7" spans="1:5" x14ac:dyDescent="0.25">
      <c r="A7" s="4" t="s">
        <v>233</v>
      </c>
      <c r="B7" s="42" t="s">
        <v>234</v>
      </c>
    </row>
    <row r="8" spans="1:5" x14ac:dyDescent="0.25">
      <c r="A8" t="s">
        <v>235</v>
      </c>
      <c r="C8" s="42" t="s">
        <v>236</v>
      </c>
      <c r="D8" s="42" t="s">
        <v>236</v>
      </c>
      <c r="E8" s="42" t="s">
        <v>236</v>
      </c>
    </row>
    <row r="9" spans="1:5" x14ac:dyDescent="0.25">
      <c r="B9" s="32" t="s">
        <v>219</v>
      </c>
      <c r="C9" s="32" t="s">
        <v>237</v>
      </c>
      <c r="D9" s="32" t="s">
        <v>238</v>
      </c>
      <c r="E9" s="32" t="s">
        <v>239</v>
      </c>
    </row>
    <row r="10" spans="1:5" x14ac:dyDescent="0.25">
      <c r="A10" t="s">
        <v>240</v>
      </c>
      <c r="B10" s="43">
        <v>120700</v>
      </c>
      <c r="C10" s="6">
        <f>B10</f>
        <v>120700</v>
      </c>
      <c r="D10" s="6">
        <f>B10</f>
        <v>120700</v>
      </c>
      <c r="E10" s="6">
        <f t="shared" ref="E10:E15" si="0">B10</f>
        <v>120700</v>
      </c>
    </row>
    <row r="11" spans="1:5" x14ac:dyDescent="0.25">
      <c r="A11" t="s">
        <v>241</v>
      </c>
      <c r="B11" s="44">
        <v>0.02</v>
      </c>
      <c r="C11" s="45">
        <v>-0.103515625</v>
      </c>
      <c r="D11" s="11">
        <f>B11</f>
        <v>0.02</v>
      </c>
      <c r="E11" s="11">
        <f t="shared" si="0"/>
        <v>0.02</v>
      </c>
    </row>
    <row r="12" spans="1:5" x14ac:dyDescent="0.25">
      <c r="A12" t="s">
        <v>242</v>
      </c>
      <c r="B12" s="44">
        <v>5.309374316487158E-2</v>
      </c>
      <c r="C12" s="11">
        <f t="shared" ref="C12:C20" si="1">B12</f>
        <v>5.309374316487158E-2</v>
      </c>
      <c r="D12" s="11">
        <f>B12</f>
        <v>5.309374316487158E-2</v>
      </c>
      <c r="E12" s="11">
        <f t="shared" si="0"/>
        <v>5.309374316487158E-2</v>
      </c>
    </row>
    <row r="13" spans="1:5" x14ac:dyDescent="0.25">
      <c r="A13" t="s">
        <v>243</v>
      </c>
      <c r="B13" s="44">
        <v>6.9869801159900588E-2</v>
      </c>
      <c r="C13" s="11">
        <f t="shared" si="1"/>
        <v>6.9869801159900588E-2</v>
      </c>
      <c r="D13" s="45">
        <v>5.7852745056152372E-2</v>
      </c>
      <c r="E13" s="11">
        <f t="shared" si="0"/>
        <v>6.9869801159900588E-2</v>
      </c>
    </row>
    <row r="14" spans="1:5" x14ac:dyDescent="0.25">
      <c r="A14" t="s">
        <v>244</v>
      </c>
      <c r="B14" s="44">
        <v>3.4088608119304073E-2</v>
      </c>
      <c r="C14" s="11">
        <f t="shared" si="1"/>
        <v>3.4088608119304073E-2</v>
      </c>
      <c r="D14" s="11">
        <f t="shared" ref="D14:D20" si="2">B14</f>
        <v>3.4088608119304073E-2</v>
      </c>
      <c r="E14" s="11">
        <f t="shared" si="0"/>
        <v>3.4088608119304073E-2</v>
      </c>
    </row>
    <row r="15" spans="1:5" x14ac:dyDescent="0.25">
      <c r="A15" t="s">
        <v>75</v>
      </c>
      <c r="B15" s="44">
        <v>0.02</v>
      </c>
      <c r="C15" s="11">
        <f t="shared" si="1"/>
        <v>0.02</v>
      </c>
      <c r="D15" s="11">
        <f t="shared" si="2"/>
        <v>0.02</v>
      </c>
      <c r="E15" s="11">
        <f t="shared" si="0"/>
        <v>0.02</v>
      </c>
    </row>
    <row r="16" spans="1:5" x14ac:dyDescent="0.25">
      <c r="A16" t="s">
        <v>245</v>
      </c>
      <c r="B16" s="44">
        <v>8.903330000000001E-2</v>
      </c>
      <c r="C16" s="11">
        <f t="shared" si="1"/>
        <v>8.903330000000001E-2</v>
      </c>
      <c r="D16" s="11">
        <f t="shared" si="2"/>
        <v>8.903330000000001E-2</v>
      </c>
      <c r="E16" s="45">
        <v>0.15603515625</v>
      </c>
    </row>
    <row r="17" spans="1:5" x14ac:dyDescent="0.25">
      <c r="A17" t="s">
        <v>246</v>
      </c>
      <c r="B17" s="44">
        <v>0.29799999999999999</v>
      </c>
      <c r="C17" s="11">
        <f t="shared" si="1"/>
        <v>0.29799999999999999</v>
      </c>
      <c r="D17" s="11">
        <f t="shared" si="2"/>
        <v>0.29799999999999999</v>
      </c>
      <c r="E17" s="11">
        <f>B17</f>
        <v>0.29799999999999999</v>
      </c>
    </row>
    <row r="18" spans="1:5" x14ac:dyDescent="0.25">
      <c r="A18" t="s">
        <v>247</v>
      </c>
      <c r="B18" s="43">
        <v>6712</v>
      </c>
      <c r="C18" s="6">
        <f t="shared" si="1"/>
        <v>6712</v>
      </c>
      <c r="D18" s="6">
        <f t="shared" si="2"/>
        <v>6712</v>
      </c>
      <c r="E18" s="6">
        <f>B18</f>
        <v>6712</v>
      </c>
    </row>
    <row r="19" spans="1:5" x14ac:dyDescent="0.25">
      <c r="A19" t="s">
        <v>248</v>
      </c>
      <c r="B19" s="43">
        <v>18308.8</v>
      </c>
      <c r="C19" s="6">
        <f t="shared" si="1"/>
        <v>18308.8</v>
      </c>
      <c r="D19" s="6">
        <f t="shared" si="2"/>
        <v>18308.8</v>
      </c>
      <c r="E19" s="6">
        <f>B19</f>
        <v>18308.8</v>
      </c>
    </row>
    <row r="20" spans="1:5" x14ac:dyDescent="0.25">
      <c r="A20" t="s">
        <v>249</v>
      </c>
      <c r="B20" s="41">
        <v>607.13</v>
      </c>
      <c r="C20" s="6">
        <f t="shared" si="1"/>
        <v>607.13</v>
      </c>
      <c r="D20" s="6">
        <f t="shared" si="2"/>
        <v>607.13</v>
      </c>
      <c r="E20" s="6">
        <f>B20</f>
        <v>607.13</v>
      </c>
    </row>
    <row r="22" spans="1:5" x14ac:dyDescent="0.25">
      <c r="A22" t="s">
        <v>250</v>
      </c>
      <c r="B22" s="6">
        <f>B10*(1+B11)^1</f>
        <v>123114</v>
      </c>
      <c r="C22" s="6">
        <f>C10*(1+C11)^1</f>
        <v>108205.6640625</v>
      </c>
      <c r="D22" s="6">
        <f>D10*(1+D11)^1</f>
        <v>123114</v>
      </c>
      <c r="E22" s="6">
        <f>E10*(1+E11)^1</f>
        <v>123114</v>
      </c>
    </row>
    <row r="23" spans="1:5" x14ac:dyDescent="0.25">
      <c r="A23" t="s">
        <v>251</v>
      </c>
      <c r="B23" s="6">
        <f>B10*(1+B11)^2</f>
        <v>125576.28</v>
      </c>
      <c r="C23" s="6">
        <f>C10*(1+C11)^2</f>
        <v>97004.687118530273</v>
      </c>
      <c r="D23" s="6">
        <f>D10*(1+D11)^2</f>
        <v>125576.28</v>
      </c>
      <c r="E23" s="6">
        <f>E10*(1+E11)^2</f>
        <v>125576.28</v>
      </c>
    </row>
    <row r="24" spans="1:5" x14ac:dyDescent="0.25">
      <c r="A24" t="s">
        <v>252</v>
      </c>
      <c r="B24" s="6">
        <f>B10*(1+B11)^3</f>
        <v>128087.80559999999</v>
      </c>
      <c r="C24" s="6">
        <f>C10*(1+C11)^3</f>
        <v>86963.186303526163</v>
      </c>
      <c r="D24" s="6">
        <f>D10*(1+D11)^3</f>
        <v>128087.80559999999</v>
      </c>
      <c r="E24" s="6">
        <f>E10*(1+E11)^3</f>
        <v>128087.80559999999</v>
      </c>
    </row>
    <row r="25" spans="1:5" x14ac:dyDescent="0.25">
      <c r="A25" t="s">
        <v>253</v>
      </c>
      <c r="B25" s="6">
        <f>B10*(1+B11)^4</f>
        <v>130649.561712</v>
      </c>
      <c r="C25" s="6">
        <f>C10*(1+C11)^4</f>
        <v>77961.137721325213</v>
      </c>
      <c r="D25" s="6">
        <f>D10*(1+D11)^4</f>
        <v>130649.561712</v>
      </c>
      <c r="E25" s="6">
        <f>E10*(1+E11)^4</f>
        <v>130649.561712</v>
      </c>
    </row>
    <row r="26" spans="1:5" x14ac:dyDescent="0.25">
      <c r="A26" t="s">
        <v>254</v>
      </c>
      <c r="B26" s="6">
        <f>B10*(1+B11)^5</f>
        <v>133262.55294624</v>
      </c>
      <c r="C26" s="6">
        <f>C10*(1+C11)^5</f>
        <v>69890.941824391164</v>
      </c>
      <c r="D26" s="6">
        <f>D10*(1+D11)^5</f>
        <v>133262.55294624</v>
      </c>
      <c r="E26" s="6">
        <f>E10*(1+E11)^5</f>
        <v>133262.55294624</v>
      </c>
    </row>
    <row r="27" spans="1:5" x14ac:dyDescent="0.25">
      <c r="A27" t="s">
        <v>255</v>
      </c>
      <c r="B27" s="6">
        <f>B26*(1+(B11+(B15-B11)*1/5))</f>
        <v>135927.8040051648</v>
      </c>
      <c r="C27" s="6">
        <f>C26*(1+(C11+(C15-C11)*1/5))</f>
        <v>64382.661971856338</v>
      </c>
      <c r="D27" s="6">
        <f>D26*(1+(D11+(D15-D11)*1/5))</f>
        <v>135927.8040051648</v>
      </c>
      <c r="E27" s="6">
        <f>E26*(1+(E11+(E15-E11)*1/5))</f>
        <v>135927.8040051648</v>
      </c>
    </row>
    <row r="28" spans="1:5" x14ac:dyDescent="0.25">
      <c r="A28" t="s">
        <v>256</v>
      </c>
      <c r="B28" s="6">
        <f>B27*(1+(B11+(B15-B11)*2/5))</f>
        <v>138646.3600852681</v>
      </c>
      <c r="C28" s="6">
        <f>C27*(1+(C11+(C15-C11)*2/5))</f>
        <v>60898.956371722925</v>
      </c>
      <c r="D28" s="6">
        <f>D27*(1+(D11+(D15-D11)*2/5))</f>
        <v>138646.3600852681</v>
      </c>
      <c r="E28" s="6">
        <f>E27*(1+(E11+(E15-E11)*2/5))</f>
        <v>138646.3600852681</v>
      </c>
    </row>
    <row r="29" spans="1:5" x14ac:dyDescent="0.25">
      <c r="A29" t="s">
        <v>257</v>
      </c>
      <c r="B29" s="6">
        <f>B28*(1+(B11+(B15-B11)*3/5))</f>
        <v>141419.28728697347</v>
      </c>
      <c r="C29" s="6">
        <f>C28*(1+(C11+(C15-C11)*3/5))</f>
        <v>59108.146435916948</v>
      </c>
      <c r="D29" s="6">
        <f>D28*(1+(D11+(D15-D11)*3/5))</f>
        <v>141419.28728697347</v>
      </c>
      <c r="E29" s="6">
        <f>E28*(1+(E11+(E15-E11)*3/5))</f>
        <v>141419.28728697347</v>
      </c>
    </row>
    <row r="30" spans="1:5" x14ac:dyDescent="0.25">
      <c r="A30" t="s">
        <v>258</v>
      </c>
      <c r="B30" s="6">
        <f>B29*(1+(B11+(B15-B11)*4/5))</f>
        <v>144247.67303271295</v>
      </c>
      <c r="C30" s="6">
        <f>C29*(1+(C11+(C15-C11)*4/5))</f>
        <v>58830.153434710526</v>
      </c>
      <c r="D30" s="6">
        <f>D29*(1+(D11+(D15-D11)*4/5))</f>
        <v>144247.67303271295</v>
      </c>
      <c r="E30" s="6">
        <f>E29*(1+(E11+(E15-E11)*4/5))</f>
        <v>144247.67303271295</v>
      </c>
    </row>
    <row r="31" spans="1:5" x14ac:dyDescent="0.25">
      <c r="A31" t="s">
        <v>259</v>
      </c>
      <c r="B31" s="6">
        <f>B30*(1+(B11+(B15-B11)*5/5))</f>
        <v>147132.62649336722</v>
      </c>
      <c r="C31" s="6">
        <f>C30*(1+(C11+(C15-C11)*5/5))</f>
        <v>60006.756503404737</v>
      </c>
      <c r="D31" s="6">
        <f>D30*(1+(D11+(D15-D11)*5/5))</f>
        <v>147132.62649336722</v>
      </c>
      <c r="E31" s="6">
        <f>E30*(1+(E11+(E15-E11)*5/5))</f>
        <v>147132.62649336722</v>
      </c>
    </row>
    <row r="33" spans="1:5" x14ac:dyDescent="0.25">
      <c r="A33" t="s">
        <v>260</v>
      </c>
      <c r="B33" s="6">
        <f>B22*(B12+(B13-B12)*0/4)*(1-B17)-B22*B14</f>
        <v>391.89643339199756</v>
      </c>
      <c r="C33" s="6">
        <f>C22*(C12+(C13-C12)*0/4)*(1-C17)-C22*C14</f>
        <v>344.44022466093566</v>
      </c>
      <c r="D33" s="6">
        <f>D22*(D12+(D13-D12)*0/4)*(1-D17)-D22*D14</f>
        <v>391.89643339199756</v>
      </c>
      <c r="E33" s="6">
        <f>E22*(E12+(E13-E12)*0/4)*(1-E17)-E22*E14</f>
        <v>391.89643339199756</v>
      </c>
    </row>
    <row r="34" spans="1:5" x14ac:dyDescent="0.25">
      <c r="A34" t="s">
        <v>261</v>
      </c>
      <c r="B34" s="6">
        <f>B23*(B12+(B13-B12)*1/4)*(1-B17)-B23*B14</f>
        <v>769.4558168518779</v>
      </c>
      <c r="C34" s="6">
        <f>C23*(C12+(C13-C12)*1/4)*(1-C17)-C23*C14</f>
        <v>594.38630261423259</v>
      </c>
      <c r="D34" s="6">
        <f>D23*(D12+(D13-D12)*1/4)*(1-D17)-D23*D14</f>
        <v>504.61627789034901</v>
      </c>
      <c r="E34" s="6">
        <f>E23*(E12+(E13-E12)*1/4)*(1-E17)-E23*E14</f>
        <v>769.4558168518779</v>
      </c>
    </row>
    <row r="35" spans="1:5" x14ac:dyDescent="0.25">
      <c r="A35" t="s">
        <v>262</v>
      </c>
      <c r="B35" s="6">
        <f>B24*(B12+(B13-B12)*2/4)*(1-B17)-B24*B14</f>
        <v>1161.960817076797</v>
      </c>
      <c r="C35" s="6">
        <f>C24*(C12+(C13-C12)*2/4)*(1-C17)-C24*C14</f>
        <v>788.89488768669253</v>
      </c>
      <c r="D35" s="6">
        <f>D24*(D12+(D13-D12)*2/4)*(1-D17)-D24*D14</f>
        <v>621.68815759527752</v>
      </c>
      <c r="E35" s="6">
        <f>E24*(E12+(E13-E12)*2/4)*(1-E17)-E24*E14</f>
        <v>1161.960817076797</v>
      </c>
    </row>
    <row r="36" spans="1:5" x14ac:dyDescent="0.25">
      <c r="A36" t="s">
        <v>263</v>
      </c>
      <c r="B36" s="6">
        <f>B25*(B12+(B13-B12)*3/4)*(1-B17)-B25*B14</f>
        <v>1569.8582349839708</v>
      </c>
      <c r="C36" s="6">
        <f>C25*(C12+(C13-C12)*3/4)*(1-C17)-C25*C14</f>
        <v>936.76497997237948</v>
      </c>
      <c r="D36" s="6">
        <f>D25*(D12+(D13-D12)*3/4)*(1-D17)-D25*D14</f>
        <v>743.24106597724585</v>
      </c>
      <c r="E36" s="6">
        <f>E25*(E12+(E13-E12)*3/4)*(1-E17)-E25*E14</f>
        <v>1569.8582349839708</v>
      </c>
    </row>
    <row r="37" spans="1:5" x14ac:dyDescent="0.25">
      <c r="A37" t="s">
        <v>264</v>
      </c>
      <c r="B37" s="6">
        <f>B26*(B12+(B13-B12)*4/4)*(1-B17)-B26*B14</f>
        <v>1993.6067652806023</v>
      </c>
      <c r="C37" s="6">
        <f>C26*(C12+(C13-C12)*4/4)*(1-C17)-C26*C14</f>
        <v>1045.5679511794206</v>
      </c>
      <c r="D37" s="6">
        <f>D26*(D12+(D13-D12)*4/4)*(1-D17)-D26*D14</f>
        <v>869.40741543145577</v>
      </c>
      <c r="E37" s="6">
        <f>E26*(E12+(E13-E12)*4/4)*(1-E17)-E26*E14</f>
        <v>1993.6067652806023</v>
      </c>
    </row>
    <row r="38" spans="1:5" x14ac:dyDescent="0.25">
      <c r="A38" t="s">
        <v>265</v>
      </c>
      <c r="B38" s="6">
        <f>B27*B13*(1-B17)-B27*B14</f>
        <v>2033.4789005862131</v>
      </c>
      <c r="C38" s="6">
        <f>C27*C13*(1-C17)-C27*C14</f>
        <v>963.16412702709249</v>
      </c>
      <c r="D38" s="6">
        <f>D27*D13*(1-D17)-D27*D14</f>
        <v>886.79556374008553</v>
      </c>
      <c r="E38" s="6">
        <f>E27*E13*(1-E17)-E27*E14</f>
        <v>2033.4789005862131</v>
      </c>
    </row>
    <row r="39" spans="1:5" x14ac:dyDescent="0.25">
      <c r="A39" t="s">
        <v>266</v>
      </c>
      <c r="B39" s="6">
        <f>B28*B13*(1-B17)-B28*B14</f>
        <v>2074.1484785979383</v>
      </c>
      <c r="C39" s="6">
        <f>C28*C13*(1-C17)-C28*C14</f>
        <v>911.04791809123617</v>
      </c>
      <c r="D39" s="6">
        <f>D28*D13*(1-D17)-D28*D14</f>
        <v>904.53147501488729</v>
      </c>
      <c r="E39" s="6">
        <f>E28*E13*(1-E17)-E28*E14</f>
        <v>2074.1484785979383</v>
      </c>
    </row>
    <row r="40" spans="1:5" x14ac:dyDescent="0.25">
      <c r="A40" t="s">
        <v>267</v>
      </c>
      <c r="B40" s="6">
        <f>B29*B13*(1-B17)-B29*B14</f>
        <v>2115.6314481698973</v>
      </c>
      <c r="C40" s="6">
        <f>C29*C13*(1-C17)-C29*C14</f>
        <v>884.25741524986552</v>
      </c>
      <c r="D40" s="6">
        <f>D29*D13*(1-D17)-D29*D14</f>
        <v>922.62210451518513</v>
      </c>
      <c r="E40" s="6">
        <f>E29*E13*(1-E17)-E29*E14</f>
        <v>2115.6314481698973</v>
      </c>
    </row>
    <row r="41" spans="1:5" x14ac:dyDescent="0.25">
      <c r="A41" t="s">
        <v>268</v>
      </c>
      <c r="B41" s="6">
        <f>B30*B13*(1-B17)-B30*B14</f>
        <v>2157.9440771332957</v>
      </c>
      <c r="C41" s="6">
        <f>C30*C13*(1-C17)-C30*C14</f>
        <v>880.09864209376883</v>
      </c>
      <c r="D41" s="6">
        <f>D30*D13*(1-D17)-D30*D14</f>
        <v>941.07454660548865</v>
      </c>
      <c r="E41" s="6">
        <f>E30*E13*(1-E17)-E30*E14</f>
        <v>2157.9440771332957</v>
      </c>
    </row>
    <row r="42" spans="1:5" x14ac:dyDescent="0.25">
      <c r="A42" t="s">
        <v>269</v>
      </c>
      <c r="B42" s="6">
        <f>B31*B13*(1-B17)-B31*B14</f>
        <v>2201.1029586759614</v>
      </c>
      <c r="C42" s="6">
        <f>C31*C13*(1-C17)-C31*C14</f>
        <v>897.7006149356439</v>
      </c>
      <c r="D42" s="6">
        <f>D31*D13*(1-D17)-D31*D14</f>
        <v>959.89603753759911</v>
      </c>
      <c r="E42" s="6">
        <f>E31*E13*(1-E17)-E31*E14</f>
        <v>2201.1029586759614</v>
      </c>
    </row>
    <row r="44" spans="1:5" x14ac:dyDescent="0.25">
      <c r="A44" t="s">
        <v>117</v>
      </c>
      <c r="B44" s="6">
        <f>B33/(1+B16)^1</f>
        <v>359.85716267078107</v>
      </c>
      <c r="C44" s="6">
        <f>C33/(1+C16)^1</f>
        <v>316.28070937861645</v>
      </c>
      <c r="D44" s="6">
        <f>D33/(1+D16)^1</f>
        <v>359.85716267078107</v>
      </c>
      <c r="E44" s="6">
        <f>E33/(1+E16)^1</f>
        <v>339.00044585430192</v>
      </c>
    </row>
    <row r="45" spans="1:5" x14ac:dyDescent="0.25">
      <c r="A45" t="s">
        <v>118</v>
      </c>
      <c r="B45" s="6">
        <f>B34/(1+B16)^2</f>
        <v>648.78584777717026</v>
      </c>
      <c r="C45" s="6">
        <f>C34/(1+C16)^2</f>
        <v>501.17162389708352</v>
      </c>
      <c r="D45" s="6">
        <f>D34/(1+D16)^2</f>
        <v>425.47979037017689</v>
      </c>
      <c r="E45" s="6">
        <f>E34/(1+E16)^2</f>
        <v>575.76015136571721</v>
      </c>
    </row>
    <row r="46" spans="1:5" x14ac:dyDescent="0.25">
      <c r="A46" t="s">
        <v>119</v>
      </c>
      <c r="B46" s="6">
        <f>B35/(1+B16)^3</f>
        <v>899.63844120367253</v>
      </c>
      <c r="C46" s="6">
        <f>C35/(1+C16)^3</f>
        <v>610.79526658866257</v>
      </c>
      <c r="D46" s="6">
        <f>D35/(1+D16)^3</f>
        <v>481.33685473219651</v>
      </c>
      <c r="E46" s="6">
        <f>E35/(1+E16)^3</f>
        <v>752.10479650377272</v>
      </c>
    </row>
    <row r="47" spans="1:5" x14ac:dyDescent="0.25">
      <c r="A47" t="s">
        <v>120</v>
      </c>
      <c r="B47" s="6">
        <f>B36/(1+B16)^4</f>
        <v>1116.0812110972049</v>
      </c>
      <c r="C47" s="6">
        <f>C36/(1+C16)^4</f>
        <v>665.98739304106493</v>
      </c>
      <c r="D47" s="6">
        <f>D36/(1+D16)^4</f>
        <v>528.402737627791</v>
      </c>
      <c r="E47" s="6">
        <f>E36/(1+E16)^4</f>
        <v>878.97448591576199</v>
      </c>
    </row>
    <row r="48" spans="1:5" x14ac:dyDescent="0.25">
      <c r="A48" t="s">
        <v>121</v>
      </c>
      <c r="B48" s="6">
        <f>B37/(1+B16)^5</f>
        <v>1301.4686181856928</v>
      </c>
      <c r="C48" s="6">
        <f>C37/(1+C16)^5</f>
        <v>682.56884975467869</v>
      </c>
      <c r="D48" s="6">
        <f>D37/(1+D16)^5</f>
        <v>567.56753002024982</v>
      </c>
      <c r="E48" s="6">
        <f>E37/(1+E16)^5</f>
        <v>965.57117095530305</v>
      </c>
    </row>
    <row r="49" spans="1:5" x14ac:dyDescent="0.25">
      <c r="A49" t="s">
        <v>153</v>
      </c>
      <c r="B49" s="6">
        <f>B38/(1+B16)^6</f>
        <v>1218.9691449741763</v>
      </c>
      <c r="C49" s="6">
        <f>C38/(1+C16)^6</f>
        <v>577.36883921124172</v>
      </c>
      <c r="D49" s="6">
        <f>D38/(1+D16)^6</f>
        <v>531.58969576105255</v>
      </c>
      <c r="E49" s="6">
        <f>E38/(1+E16)^6</f>
        <v>851.94865316139339</v>
      </c>
    </row>
    <row r="50" spans="1:5" x14ac:dyDescent="0.25">
      <c r="A50" t="s">
        <v>154</v>
      </c>
      <c r="B50" s="6">
        <f>B39/(1+B16)^7</f>
        <v>1141.6992739098614</v>
      </c>
      <c r="C50" s="6">
        <f>C39/(1+C16)^7</f>
        <v>501.47940579690822</v>
      </c>
      <c r="D50" s="6">
        <f>D39/(1+D16)^7</f>
        <v>497.8924792072691</v>
      </c>
      <c r="E50" s="6">
        <f>E39/(1+E16)^7</f>
        <v>751.69653926744206</v>
      </c>
    </row>
    <row r="51" spans="1:5" x14ac:dyDescent="0.25">
      <c r="A51" t="s">
        <v>155</v>
      </c>
      <c r="B51" s="6">
        <f>B40/(1+B16)^8</f>
        <v>1069.3275030139653</v>
      </c>
      <c r="C51" s="6">
        <f>C40/(1+C16)^8</f>
        <v>446.94021479434343</v>
      </c>
      <c r="D51" s="6">
        <f>D40/(1+D16)^8</f>
        <v>466.33131309337779</v>
      </c>
      <c r="E51" s="6">
        <f>E40/(1+E16)^8</f>
        <v>663.24148180747932</v>
      </c>
    </row>
    <row r="52" spans="1:5" x14ac:dyDescent="0.25">
      <c r="A52" t="s">
        <v>156</v>
      </c>
      <c r="B52" s="6">
        <f>B41/(1+B16)^9</f>
        <v>1001.5433440595846</v>
      </c>
      <c r="C52" s="6">
        <f>C41/(1+C16)^9</f>
        <v>408.4707043362576</v>
      </c>
      <c r="D52" s="6">
        <f>D41/(1+D16)^9</f>
        <v>436.77079420367147</v>
      </c>
      <c r="E52" s="6">
        <f>E41/(1+E16)^9</f>
        <v>585.19527523549664</v>
      </c>
    </row>
    <row r="53" spans="1:5" x14ac:dyDescent="0.25">
      <c r="A53" t="s">
        <v>157</v>
      </c>
      <c r="B53" s="6">
        <f>B42/(1+B16)^10</f>
        <v>938.05599052001082</v>
      </c>
      <c r="C53" s="6">
        <f>C42/(1+C16)^10</f>
        <v>382.57794176080984</v>
      </c>
      <c r="D53" s="6">
        <f>D42/(1+D16)^10</f>
        <v>409.08410246752345</v>
      </c>
      <c r="E53" s="6">
        <f>E42/(1+E16)^10</f>
        <v>516.33306955512978</v>
      </c>
    </row>
    <row r="54" spans="1:5" x14ac:dyDescent="0.25">
      <c r="A54" t="s">
        <v>159</v>
      </c>
      <c r="B54" s="6">
        <f>SUM(B44:B53)</f>
        <v>9695.4265374121205</v>
      </c>
      <c r="C54" s="6">
        <f>SUM(C44:C53)</f>
        <v>5093.6409485596678</v>
      </c>
      <c r="D54" s="6">
        <f>SUM(D44:D53)</f>
        <v>4704.3124601540903</v>
      </c>
      <c r="E54" s="6">
        <f>SUM(E44:E53)</f>
        <v>6879.8260696217976</v>
      </c>
    </row>
    <row r="55" spans="1:5" x14ac:dyDescent="0.25">
      <c r="A55" t="s">
        <v>160</v>
      </c>
      <c r="B55" s="6">
        <f>B42*(1+B15)/MAX(B16-B15,0.01)</f>
        <v>32522.348168919645</v>
      </c>
      <c r="C55" s="6">
        <f>C42*(1+C15)/MAX(C16-C15,0.01)</f>
        <v>13263.955616120867</v>
      </c>
      <c r="D55" s="6">
        <f>D42*(1+D15)/MAX(D16-D15,0.01)</f>
        <v>14182.922709595963</v>
      </c>
      <c r="E55" s="6">
        <f>E42*(1+E15)/MAX(E16-E15,0.01)</f>
        <v>16504.00587421298</v>
      </c>
    </row>
    <row r="56" spans="1:5" x14ac:dyDescent="0.25">
      <c r="A56" t="s">
        <v>161</v>
      </c>
      <c r="B56" s="6">
        <f>B55/(1+B16)^10</f>
        <v>13860.225577082523</v>
      </c>
      <c r="C56" s="6">
        <f>C55/(1+C16)^10</f>
        <v>5652.7719317492574</v>
      </c>
      <c r="D56" s="6">
        <f>D55/(1+D16)^10</f>
        <v>6044.4131240556926</v>
      </c>
      <c r="E56" s="6">
        <f>E55/(1+E16)^10</f>
        <v>3871.4972325121457</v>
      </c>
    </row>
    <row r="57" spans="1:5" x14ac:dyDescent="0.25">
      <c r="A57" t="s">
        <v>270</v>
      </c>
      <c r="B57" s="6">
        <f>B54+B56</f>
        <v>23555.652114494646</v>
      </c>
      <c r="C57" s="6">
        <f>C54+C56</f>
        <v>10746.412880308926</v>
      </c>
      <c r="D57" s="6">
        <f>D54+D56</f>
        <v>10748.725584209784</v>
      </c>
      <c r="E57" s="6">
        <f>E54+E56</f>
        <v>10751.323302133944</v>
      </c>
    </row>
    <row r="58" spans="1:5" x14ac:dyDescent="0.25">
      <c r="A58" t="s">
        <v>271</v>
      </c>
      <c r="B58" s="6">
        <f>B57+B18+B19</f>
        <v>48576.452114494648</v>
      </c>
      <c r="C58" s="6">
        <f>C57+C18+C19</f>
        <v>35767.212880308929</v>
      </c>
      <c r="D58" s="6">
        <f>D57+D18+D19</f>
        <v>35769.525584209783</v>
      </c>
      <c r="E58" s="6">
        <f>E57+E18+E19</f>
        <v>35772.123302133943</v>
      </c>
    </row>
    <row r="59" spans="1:5" x14ac:dyDescent="0.25">
      <c r="A59" s="4" t="s">
        <v>272</v>
      </c>
      <c r="B59" s="33">
        <f>B58/B20</f>
        <v>80.009968399674946</v>
      </c>
      <c r="C59" s="33">
        <f>C58/C20</f>
        <v>58.911951114767724</v>
      </c>
      <c r="D59" s="33">
        <f>D58/D20</f>
        <v>58.915760354800099</v>
      </c>
      <c r="E59" s="33">
        <f>E58/E20</f>
        <v>58.920039039635569</v>
      </c>
    </row>
    <row r="60" spans="1:5" x14ac:dyDescent="0.25">
      <c r="A60" t="s">
        <v>273</v>
      </c>
      <c r="B60" s="6">
        <f>B59-B5</f>
        <v>-3.1600325058889212E-5</v>
      </c>
      <c r="C60" s="6">
        <f>C59-B4</f>
        <v>1.9511147677278018E-3</v>
      </c>
      <c r="D60" s="6">
        <f>D59-B4</f>
        <v>5.7603548001026184E-3</v>
      </c>
      <c r="E60" s="6">
        <f>E59-B4</f>
        <v>1.0039039635572067E-2</v>
      </c>
    </row>
    <row r="62" spans="1:5" x14ac:dyDescent="0.25">
      <c r="A62" s="3" t="s">
        <v>274</v>
      </c>
    </row>
    <row r="63" spans="1:5" x14ac:dyDescent="0.25">
      <c r="A63" t="s">
        <v>275</v>
      </c>
      <c r="B63" s="46">
        <v>1.077</v>
      </c>
    </row>
    <row r="64" spans="1:5" x14ac:dyDescent="0.25">
      <c r="A64" t="s">
        <v>276</v>
      </c>
      <c r="B64" s="47">
        <v>10.000999999999999</v>
      </c>
    </row>
    <row r="65" spans="1:3" x14ac:dyDescent="0.25">
      <c r="A65" t="s">
        <v>277</v>
      </c>
      <c r="B65" s="48">
        <v>5.6284884999999996</v>
      </c>
    </row>
    <row r="66" spans="1:3" x14ac:dyDescent="0.25">
      <c r="A66" t="s">
        <v>278</v>
      </c>
      <c r="B66" s="48">
        <v>6.368913</v>
      </c>
    </row>
    <row r="67" spans="1:3" x14ac:dyDescent="0.25">
      <c r="A67" t="s">
        <v>279</v>
      </c>
      <c r="B67" s="48">
        <v>0.36730210000000002</v>
      </c>
    </row>
    <row r="69" spans="1:3" x14ac:dyDescent="0.25">
      <c r="A69" s="4" t="s">
        <v>280</v>
      </c>
      <c r="B69" s="2" t="s">
        <v>281</v>
      </c>
      <c r="C69" s="2" t="s">
        <v>282</v>
      </c>
    </row>
    <row r="70" spans="1:3" x14ac:dyDescent="0.25">
      <c r="B70" s="49">
        <v>2025</v>
      </c>
      <c r="C70" s="50">
        <v>0.8</v>
      </c>
    </row>
    <row r="71" spans="1:3" x14ac:dyDescent="0.25">
      <c r="B71" s="49">
        <v>2024</v>
      </c>
      <c r="C71" s="50">
        <v>0.69</v>
      </c>
    </row>
    <row r="72" spans="1:3" x14ac:dyDescent="0.25">
      <c r="B72" s="49">
        <v>2023</v>
      </c>
      <c r="C72" s="50">
        <v>0.74</v>
      </c>
    </row>
    <row r="73" spans="1:3" x14ac:dyDescent="0.25">
      <c r="B73" s="49">
        <v>2022</v>
      </c>
      <c r="C73" s="50">
        <v>0.73</v>
      </c>
    </row>
    <row r="77" spans="1:3" x14ac:dyDescent="0.25">
      <c r="A77" s="3" t="s">
        <v>283</v>
      </c>
    </row>
    <row r="79" spans="1:3" x14ac:dyDescent="0.25">
      <c r="A79" t="s">
        <v>284</v>
      </c>
      <c r="B79" s="51">
        <v>139429</v>
      </c>
    </row>
    <row r="80" spans="1:3" x14ac:dyDescent="0.25">
      <c r="A80" t="s">
        <v>285</v>
      </c>
      <c r="B80" s="51">
        <v>152236</v>
      </c>
    </row>
    <row r="81" spans="1:2" x14ac:dyDescent="0.25">
      <c r="A81" t="s">
        <v>286</v>
      </c>
      <c r="B81" s="51">
        <v>13942</v>
      </c>
    </row>
    <row r="82" spans="1:2" x14ac:dyDescent="0.25">
      <c r="A82" t="s">
        <v>287</v>
      </c>
      <c r="B82" s="51">
        <v>15379</v>
      </c>
    </row>
    <row r="83" spans="1:2" x14ac:dyDescent="0.25">
      <c r="A83" s="4" t="s">
        <v>288</v>
      </c>
      <c r="B83" s="34">
        <f>IF(B81&gt;0,B79/B81,"")</f>
        <v>10.000645531487592</v>
      </c>
    </row>
    <row r="84" spans="1:2" x14ac:dyDescent="0.25">
      <c r="A84" s="4" t="s">
        <v>289</v>
      </c>
      <c r="B84" s="34">
        <f>IF(B81&gt;0,B80/B81,"")</f>
        <v>10.919236838330225</v>
      </c>
    </row>
    <row r="85" spans="1:2" x14ac:dyDescent="0.25">
      <c r="A85" s="4" t="s">
        <v>290</v>
      </c>
      <c r="B85" s="34">
        <f>IF(B82&gt;0,B79/B82,"")</f>
        <v>9.0661941608687169</v>
      </c>
    </row>
    <row r="86" spans="1:2" x14ac:dyDescent="0.25">
      <c r="A86" s="4" t="s">
        <v>291</v>
      </c>
      <c r="B86" s="34">
        <f>IF(B82&gt;0,B80/B82,"")</f>
        <v>9.8989531178880288</v>
      </c>
    </row>
    <row r="88" spans="1:2" x14ac:dyDescent="0.25">
      <c r="A88" s="4" t="s">
        <v>292</v>
      </c>
    </row>
    <row r="89" spans="1:2" x14ac:dyDescent="0.25">
      <c r="A89" t="s">
        <v>293</v>
      </c>
      <c r="B89" s="47">
        <v>3.33</v>
      </c>
    </row>
    <row r="90" spans="1:2" x14ac:dyDescent="0.25">
      <c r="A90" t="s">
        <v>294</v>
      </c>
      <c r="B90" s="47">
        <v>4.42</v>
      </c>
    </row>
    <row r="91" spans="1:2" x14ac:dyDescent="0.25">
      <c r="A91" t="s">
        <v>295</v>
      </c>
      <c r="B91" s="47">
        <v>5.47</v>
      </c>
    </row>
    <row r="93" spans="1:2" x14ac:dyDescent="0.25">
      <c r="A93" s="4" t="s">
        <v>296</v>
      </c>
      <c r="B93" s="52" t="s">
        <v>297</v>
      </c>
    </row>
    <row r="94" spans="1:2" x14ac:dyDescent="0.25">
      <c r="A94" t="s">
        <v>298</v>
      </c>
      <c r="B94" s="42" t="s">
        <v>299</v>
      </c>
    </row>
    <row r="96" spans="1:2" x14ac:dyDescent="0.25">
      <c r="A96" s="3" t="s">
        <v>300</v>
      </c>
    </row>
    <row r="97" spans="1:5" x14ac:dyDescent="0.25">
      <c r="A97" s="4" t="s">
        <v>301</v>
      </c>
      <c r="B97" s="53">
        <v>1.22</v>
      </c>
    </row>
    <row r="98" spans="1:5" x14ac:dyDescent="0.25">
      <c r="A98" t="s">
        <v>302</v>
      </c>
      <c r="B98" s="47">
        <v>6.26</v>
      </c>
      <c r="C98" s="47">
        <v>12.23</v>
      </c>
      <c r="D98" s="47">
        <v>188.53</v>
      </c>
    </row>
    <row r="99" spans="1:5" x14ac:dyDescent="0.25">
      <c r="A99" s="4" t="s">
        <v>303</v>
      </c>
      <c r="B99" s="4" t="s">
        <v>304</v>
      </c>
      <c r="C99" s="4" t="s">
        <v>305</v>
      </c>
      <c r="D99" s="4" t="s">
        <v>306</v>
      </c>
      <c r="E99" s="4" t="s">
        <v>307</v>
      </c>
    </row>
    <row r="100" spans="1:5" x14ac:dyDescent="0.25">
      <c r="A100" s="49" t="s">
        <v>308</v>
      </c>
      <c r="B100" s="54">
        <v>0.996</v>
      </c>
      <c r="C100" s="54">
        <v>1.369</v>
      </c>
      <c r="D100" s="54">
        <v>0.5</v>
      </c>
      <c r="E100" s="55">
        <v>10.696</v>
      </c>
    </row>
    <row r="101" spans="1:5" x14ac:dyDescent="0.25">
      <c r="A101" s="49" t="s">
        <v>309</v>
      </c>
      <c r="B101" s="54">
        <v>0.94399999999999995</v>
      </c>
      <c r="C101" s="54">
        <v>1.298</v>
      </c>
      <c r="D101" s="54">
        <v>0.5</v>
      </c>
      <c r="E101" s="55">
        <v>13.765000000000001</v>
      </c>
    </row>
    <row r="102" spans="1:5" x14ac:dyDescent="0.25">
      <c r="A102" s="49" t="s">
        <v>310</v>
      </c>
      <c r="B102" s="54">
        <v>0.99099999999999999</v>
      </c>
      <c r="C102" s="54">
        <v>1.363</v>
      </c>
      <c r="D102" s="54">
        <v>0.5</v>
      </c>
      <c r="E102" s="55">
        <v>188.52799999999999</v>
      </c>
    </row>
    <row r="103" spans="1:5" x14ac:dyDescent="0.25">
      <c r="A103" s="49" t="s">
        <v>311</v>
      </c>
      <c r="B103" s="54">
        <v>0.44800000000000001</v>
      </c>
      <c r="C103" s="54">
        <v>0.61599999999999999</v>
      </c>
      <c r="D103" s="54">
        <v>0.5</v>
      </c>
      <c r="E103" s="55">
        <v>6.2649999999999997</v>
      </c>
    </row>
    <row r="104" spans="1:5" x14ac:dyDescent="0.25">
      <c r="A104" s="49" t="s">
        <v>312</v>
      </c>
      <c r="B104" s="54">
        <v>0.98699999999999999</v>
      </c>
      <c r="C104" s="54">
        <v>1.357</v>
      </c>
      <c r="D104" s="54">
        <v>0.5</v>
      </c>
      <c r="E104" s="55">
        <v>-231.333</v>
      </c>
    </row>
    <row r="105" spans="1:5" x14ac:dyDescent="0.25">
      <c r="A105" s="49" t="s">
        <v>6</v>
      </c>
      <c r="B105" s="54">
        <v>1.22</v>
      </c>
      <c r="C105" s="54">
        <v>1.22</v>
      </c>
      <c r="D105" s="54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140625" defaultRowHeight="15" x14ac:dyDescent="0.25"/>
  <cols>
    <col min="1" max="1" width="36" customWidth="1"/>
    <col min="2" max="2" width="18" customWidth="1"/>
  </cols>
  <sheetData>
    <row r="1" spans="1:2" ht="15.75" customHeight="1" x14ac:dyDescent="0.25">
      <c r="A1" s="35" t="s">
        <v>313</v>
      </c>
    </row>
    <row r="2" spans="1:2" x14ac:dyDescent="0.25">
      <c r="A2" s="2" t="s">
        <v>314</v>
      </c>
    </row>
    <row r="4" spans="1:2" x14ac:dyDescent="0.25">
      <c r="A4" s="4" t="s">
        <v>315</v>
      </c>
      <c r="B4" s="31" t="s">
        <v>316</v>
      </c>
    </row>
    <row r="5" spans="1:2" x14ac:dyDescent="0.25">
      <c r="A5" s="4" t="s">
        <v>317</v>
      </c>
      <c r="B5" s="31" t="s">
        <v>318</v>
      </c>
    </row>
    <row r="6" spans="1:2" x14ac:dyDescent="0.25">
      <c r="A6" s="4" t="s">
        <v>319</v>
      </c>
      <c r="B6" s="31" t="s">
        <v>320</v>
      </c>
    </row>
    <row r="7" spans="1:2" x14ac:dyDescent="0.25">
      <c r="A7" s="4" t="s">
        <v>321</v>
      </c>
      <c r="B7" s="31" t="s">
        <v>322</v>
      </c>
    </row>
    <row r="8" spans="1:2" x14ac:dyDescent="0.25">
      <c r="A8" s="4" t="s">
        <v>323</v>
      </c>
      <c r="B8" s="31" t="s">
        <v>324</v>
      </c>
    </row>
    <row r="9" spans="1:2" x14ac:dyDescent="0.25">
      <c r="A9" s="4" t="s">
        <v>325</v>
      </c>
      <c r="B9" s="31" t="s">
        <v>326</v>
      </c>
    </row>
    <row r="10" spans="1:2" x14ac:dyDescent="0.25">
      <c r="A10" s="4" t="s">
        <v>327</v>
      </c>
      <c r="B10" s="31" t="s">
        <v>220</v>
      </c>
    </row>
    <row r="11" spans="1:2" x14ac:dyDescent="0.25">
      <c r="A11" s="4" t="s">
        <v>328</v>
      </c>
      <c r="B11" s="31" t="s">
        <v>329</v>
      </c>
    </row>
    <row r="12" spans="1:2" x14ac:dyDescent="0.25">
      <c r="A12" s="4" t="s">
        <v>330</v>
      </c>
      <c r="B12" s="31" t="s">
        <v>331</v>
      </c>
    </row>
    <row r="13" spans="1:2" x14ac:dyDescent="0.25">
      <c r="A13" s="4" t="s">
        <v>332</v>
      </c>
      <c r="B13" s="31" t="s">
        <v>333</v>
      </c>
    </row>
    <row r="14" spans="1:2" x14ac:dyDescent="0.25">
      <c r="A14" s="4" t="s">
        <v>334</v>
      </c>
      <c r="B14" s="31" t="s">
        <v>218</v>
      </c>
    </row>
    <row r="15" spans="1:2" x14ac:dyDescent="0.25">
      <c r="A15" s="4" t="s">
        <v>335</v>
      </c>
      <c r="B15" s="31" t="s">
        <v>220</v>
      </c>
    </row>
    <row r="16" spans="1:2" x14ac:dyDescent="0.25">
      <c r="A16" s="4" t="s">
        <v>336</v>
      </c>
      <c r="B16" s="31" t="s">
        <v>222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2026-08-18T12:19:17Z</dcterms:created>
  <dcterms:modified xsi:type="dcterms:W3CDTF">2026-08-19T15:05:56Z</dcterms:modified>
</cp:coreProperties>
</file>