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anni\Documents\Claude\Projects\FinSurf\output\Deutsche_Telekom\2026-07-30_run1\"/>
    </mc:Choice>
  </mc:AlternateContent>
  <xr:revisionPtr revIDLastSave="0" documentId="13_ncr:1_{A337671C-DE9C-4671-9E79-228EB04FD36A}" xr6:coauthVersionLast="47" xr6:coauthVersionMax="47" xr10:uidLastSave="{00000000-0000-0000-0000-000000000000}"/>
  <bookViews>
    <workbookView xWindow="2263" yWindow="2263" windowWidth="18514" windowHeight="10740" xr2:uid="{00000000-000D-0000-FFFF-FFFF00000000}"/>
  </bookViews>
  <sheets>
    <sheet name="Inputs" sheetId="1" r:id="rId1"/>
    <sheet name="DCF Base" sheetId="2" r:id="rId2"/>
    <sheet name="DCF Bull" sheetId="3" r:id="rId3"/>
    <sheet name="DCF Bear" sheetId="4" r:id="rId4"/>
    <sheet name="Adjustments" sheetId="5" r:id="rId5"/>
    <sheet name="Szenarien" sheetId="6" r:id="rId6"/>
    <sheet name="Markt-implizit" sheetId="7" r:id="rId7"/>
    <sheet name="Outputs" sheetId="8" r:id="rId8"/>
  </sheets>
  <definedNames>
    <definedName name="OUT_EQUITY">'DCF Base'!$K$119</definedName>
    <definedName name="OUT_GROUP_EV">'DCF Base'!$K$109</definedName>
    <definedName name="OUT_MINORITY">Inputs!$B$15</definedName>
    <definedName name="OUT_NET_DEBT">Inputs!$B$14</definedName>
    <definedName name="OUT_PRICE_TARGET">'DCF Base'!$K$122</definedName>
    <definedName name="OUT_SEG_EV_1">'DCF Base'!$C$109</definedName>
    <definedName name="OUT_SEG_EV_2">'DCF Base'!$D$109</definedName>
    <definedName name="OUT_SEG_EV_3">'DCF Base'!$E$109</definedName>
    <definedName name="OUT_SEG_EV_4">'DCF Base'!$F$109</definedName>
    <definedName name="OUT_SEG_EV_5">'DCF Base'!$G$109</definedName>
    <definedName name="OUT_SEG_EV_6">'DCF Base'!$H$109</definedName>
    <definedName name="OUT_SEG_EV_7">'DCF Base'!$I$109</definedName>
    <definedName name="OUT_SEG_EV_8">'DCF Base'!$J$109</definedName>
    <definedName name="OUT_SEG_WACC_1">'DCF Base'!$C$16</definedName>
    <definedName name="OUT_SEG_WACC_2">'DCF Base'!$D$16</definedName>
    <definedName name="OUT_SEG_WACC_3">'DCF Base'!$E$16</definedName>
    <definedName name="OUT_SEG_WACC_4">'DCF Base'!$F$16</definedName>
    <definedName name="OUT_SEG_WACC_5">'DCF Base'!$G$16</definedName>
    <definedName name="OUT_SEG_WACC_6">'DCF Base'!$H$16</definedName>
    <definedName name="OUT_SEG_WACC_7">'DCF Base'!$I$16</definedName>
    <definedName name="OUT_SEG_WACC_8">'DCF Base'!$J$16</definedName>
    <definedName name="OUT_SHARES">Inputs!$B$11</definedName>
    <definedName name="OUT_WACC">'DCF Base'!$K$110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6" i="7" l="1"/>
  <c r="B85" i="7"/>
  <c r="B84" i="7"/>
  <c r="B83" i="7"/>
  <c r="C26" i="7"/>
  <c r="B26" i="7"/>
  <c r="B37" i="7" s="1"/>
  <c r="B48" i="7" s="1"/>
  <c r="C25" i="7"/>
  <c r="B25" i="7"/>
  <c r="B36" i="7" s="1"/>
  <c r="B47" i="7" s="1"/>
  <c r="D24" i="7"/>
  <c r="D35" i="7" s="1"/>
  <c r="D46" i="7" s="1"/>
  <c r="C24" i="7"/>
  <c r="C35" i="7" s="1"/>
  <c r="C46" i="7" s="1"/>
  <c r="B24" i="7"/>
  <c r="B35" i="7" s="1"/>
  <c r="B46" i="7" s="1"/>
  <c r="B23" i="7"/>
  <c r="B34" i="7" s="1"/>
  <c r="B45" i="7" s="1"/>
  <c r="B22" i="7"/>
  <c r="B33" i="7" s="1"/>
  <c r="B44" i="7" s="1"/>
  <c r="E20" i="7"/>
  <c r="D20" i="7"/>
  <c r="C20" i="7"/>
  <c r="E19" i="7"/>
  <c r="D19" i="7"/>
  <c r="C19" i="7"/>
  <c r="E18" i="7"/>
  <c r="D18" i="7"/>
  <c r="C18" i="7"/>
  <c r="E17" i="7"/>
  <c r="D17" i="7"/>
  <c r="C17" i="7"/>
  <c r="D16" i="7"/>
  <c r="C16" i="7"/>
  <c r="E15" i="7"/>
  <c r="D15" i="7"/>
  <c r="C15" i="7"/>
  <c r="E14" i="7"/>
  <c r="D14" i="7"/>
  <c r="C14" i="7"/>
  <c r="E13" i="7"/>
  <c r="C13" i="7"/>
  <c r="E12" i="7"/>
  <c r="D12" i="7"/>
  <c r="C12" i="7"/>
  <c r="E11" i="7"/>
  <c r="D11" i="7"/>
  <c r="D22" i="7" s="1"/>
  <c r="E10" i="7"/>
  <c r="D10" i="7"/>
  <c r="C10" i="7"/>
  <c r="B6" i="7"/>
  <c r="D9" i="5"/>
  <c r="D8" i="5"/>
  <c r="D7" i="5"/>
  <c r="D6" i="5"/>
  <c r="D5" i="5"/>
  <c r="B135" i="4"/>
  <c r="K111" i="4" s="1"/>
  <c r="B131" i="4"/>
  <c r="B133" i="4" s="1"/>
  <c r="B134" i="4" s="1"/>
  <c r="K120" i="4"/>
  <c r="J106" i="4"/>
  <c r="I106" i="4"/>
  <c r="H106" i="4"/>
  <c r="G106" i="4"/>
  <c r="D106" i="4"/>
  <c r="J73" i="4"/>
  <c r="I73" i="4"/>
  <c r="H73" i="4"/>
  <c r="G73" i="4"/>
  <c r="F73" i="4"/>
  <c r="E73" i="4"/>
  <c r="D73" i="4"/>
  <c r="C73" i="4"/>
  <c r="J72" i="4"/>
  <c r="I72" i="4"/>
  <c r="H72" i="4"/>
  <c r="G72" i="4"/>
  <c r="F72" i="4"/>
  <c r="E72" i="4"/>
  <c r="D72" i="4"/>
  <c r="C72" i="4"/>
  <c r="J71" i="4"/>
  <c r="I71" i="4"/>
  <c r="H71" i="4"/>
  <c r="G71" i="4"/>
  <c r="F71" i="4"/>
  <c r="E71" i="4"/>
  <c r="D71" i="4"/>
  <c r="C71" i="4"/>
  <c r="J70" i="4"/>
  <c r="I70" i="4"/>
  <c r="H70" i="4"/>
  <c r="G70" i="4"/>
  <c r="F70" i="4"/>
  <c r="E70" i="4"/>
  <c r="D70" i="4"/>
  <c r="C70" i="4"/>
  <c r="J69" i="4"/>
  <c r="I69" i="4"/>
  <c r="H69" i="4"/>
  <c r="G69" i="4"/>
  <c r="F69" i="4"/>
  <c r="E69" i="4"/>
  <c r="D69" i="4"/>
  <c r="C69" i="4"/>
  <c r="J49" i="4"/>
  <c r="I49" i="4"/>
  <c r="H49" i="4"/>
  <c r="G49" i="4"/>
  <c r="F49" i="4"/>
  <c r="E49" i="4"/>
  <c r="D49" i="4"/>
  <c r="C49" i="4"/>
  <c r="E47" i="4"/>
  <c r="E45" i="4"/>
  <c r="E51" i="4" s="1"/>
  <c r="C45" i="4"/>
  <c r="J31" i="4"/>
  <c r="I31" i="4"/>
  <c r="H31" i="4"/>
  <c r="G31" i="4"/>
  <c r="G37" i="4" s="1"/>
  <c r="G43" i="4" s="1"/>
  <c r="F31" i="4"/>
  <c r="E31" i="4"/>
  <c r="E37" i="4" s="1"/>
  <c r="E43" i="4" s="1"/>
  <c r="D31" i="4"/>
  <c r="D37" i="4" s="1"/>
  <c r="D43" i="4" s="1"/>
  <c r="D55" i="4" s="1"/>
  <c r="C31" i="4"/>
  <c r="J30" i="4"/>
  <c r="J36" i="4" s="1"/>
  <c r="J42" i="4" s="1"/>
  <c r="J54" i="4" s="1"/>
  <c r="I30" i="4"/>
  <c r="I36" i="4" s="1"/>
  <c r="I42" i="4" s="1"/>
  <c r="I54" i="4" s="1"/>
  <c r="H30" i="4"/>
  <c r="G30" i="4"/>
  <c r="F30" i="4"/>
  <c r="E30" i="4"/>
  <c r="D30" i="4"/>
  <c r="C30" i="4"/>
  <c r="J29" i="4"/>
  <c r="I29" i="4"/>
  <c r="H29" i="4"/>
  <c r="G29" i="4"/>
  <c r="F29" i="4"/>
  <c r="E29" i="4"/>
  <c r="D29" i="4"/>
  <c r="C29" i="4"/>
  <c r="J28" i="4"/>
  <c r="I28" i="4"/>
  <c r="H28" i="4"/>
  <c r="G28" i="4"/>
  <c r="G34" i="4" s="1"/>
  <c r="G40" i="4" s="1"/>
  <c r="F28" i="4"/>
  <c r="F34" i="4" s="1"/>
  <c r="F40" i="4" s="1"/>
  <c r="E28" i="4"/>
  <c r="E34" i="4" s="1"/>
  <c r="E40" i="4" s="1"/>
  <c r="D28" i="4"/>
  <c r="D34" i="4" s="1"/>
  <c r="D40" i="4" s="1"/>
  <c r="C28" i="4"/>
  <c r="C34" i="4" s="1"/>
  <c r="C40" i="4" s="1"/>
  <c r="C52" i="4" s="1"/>
  <c r="J27" i="4"/>
  <c r="I27" i="4"/>
  <c r="H27" i="4"/>
  <c r="G27" i="4"/>
  <c r="F27" i="4"/>
  <c r="E27" i="4"/>
  <c r="D27" i="4"/>
  <c r="C27" i="4"/>
  <c r="J25" i="4"/>
  <c r="I25" i="4"/>
  <c r="H25" i="4"/>
  <c r="G25" i="4"/>
  <c r="G63" i="4" s="1"/>
  <c r="F25" i="4"/>
  <c r="E25" i="4"/>
  <c r="E63" i="4" s="1"/>
  <c r="D25" i="4"/>
  <c r="D63" i="4" s="1"/>
  <c r="D87" i="4" s="1"/>
  <c r="C25" i="4"/>
  <c r="J24" i="4"/>
  <c r="J48" i="4" s="1"/>
  <c r="I24" i="4"/>
  <c r="I48" i="4" s="1"/>
  <c r="H24" i="4"/>
  <c r="G24" i="4"/>
  <c r="F24" i="4"/>
  <c r="E24" i="4"/>
  <c r="D24" i="4"/>
  <c r="D48" i="4" s="1"/>
  <c r="C24" i="4"/>
  <c r="J23" i="4"/>
  <c r="I23" i="4"/>
  <c r="H23" i="4"/>
  <c r="G23" i="4"/>
  <c r="F23" i="4"/>
  <c r="E23" i="4"/>
  <c r="D23" i="4"/>
  <c r="D47" i="4" s="1"/>
  <c r="C23" i="4"/>
  <c r="C47" i="4" s="1"/>
  <c r="J22" i="4"/>
  <c r="I22" i="4"/>
  <c r="I46" i="4" s="1"/>
  <c r="H22" i="4"/>
  <c r="H46" i="4" s="1"/>
  <c r="G22" i="4"/>
  <c r="G46" i="4" s="1"/>
  <c r="F22" i="4"/>
  <c r="F46" i="4" s="1"/>
  <c r="E22" i="4"/>
  <c r="E46" i="4" s="1"/>
  <c r="D22" i="4"/>
  <c r="D46" i="4" s="1"/>
  <c r="C22" i="4"/>
  <c r="C46" i="4" s="1"/>
  <c r="J21" i="4"/>
  <c r="I21" i="4"/>
  <c r="H21" i="4"/>
  <c r="H33" i="4" s="1"/>
  <c r="H39" i="4" s="1"/>
  <c r="G21" i="4"/>
  <c r="F21" i="4"/>
  <c r="F45" i="4" s="1"/>
  <c r="E21" i="4"/>
  <c r="E33" i="4" s="1"/>
  <c r="E39" i="4" s="1"/>
  <c r="D21" i="4"/>
  <c r="D33" i="4" s="1"/>
  <c r="D39" i="4" s="1"/>
  <c r="C21" i="4"/>
  <c r="B135" i="3"/>
  <c r="B131" i="3"/>
  <c r="B133" i="3" s="1"/>
  <c r="B134" i="3" s="1"/>
  <c r="K120" i="3"/>
  <c r="K111" i="3"/>
  <c r="J106" i="3"/>
  <c r="I106" i="3"/>
  <c r="H106" i="3"/>
  <c r="G106" i="3"/>
  <c r="D106" i="3"/>
  <c r="H104" i="3"/>
  <c r="E104" i="3"/>
  <c r="D104" i="3"/>
  <c r="C104" i="3"/>
  <c r="J73" i="3"/>
  <c r="I73" i="3"/>
  <c r="H73" i="3"/>
  <c r="G73" i="3"/>
  <c r="F73" i="3"/>
  <c r="E73" i="3"/>
  <c r="D73" i="3"/>
  <c r="C73" i="3"/>
  <c r="J72" i="3"/>
  <c r="I72" i="3"/>
  <c r="H72" i="3"/>
  <c r="G72" i="3"/>
  <c r="F72" i="3"/>
  <c r="E72" i="3"/>
  <c r="D72" i="3"/>
  <c r="C72" i="3"/>
  <c r="J71" i="3"/>
  <c r="I71" i="3"/>
  <c r="H71" i="3"/>
  <c r="G71" i="3"/>
  <c r="F71" i="3"/>
  <c r="E71" i="3"/>
  <c r="D71" i="3"/>
  <c r="C71" i="3"/>
  <c r="J70" i="3"/>
  <c r="I70" i="3"/>
  <c r="H70" i="3"/>
  <c r="G70" i="3"/>
  <c r="F70" i="3"/>
  <c r="E70" i="3"/>
  <c r="D70" i="3"/>
  <c r="C70" i="3"/>
  <c r="J69" i="3"/>
  <c r="I69" i="3"/>
  <c r="H69" i="3"/>
  <c r="G69" i="3"/>
  <c r="F69" i="3"/>
  <c r="E69" i="3"/>
  <c r="D69" i="3"/>
  <c r="C69" i="3"/>
  <c r="J48" i="3"/>
  <c r="G48" i="3"/>
  <c r="C48" i="3"/>
  <c r="J47" i="3"/>
  <c r="I47" i="3"/>
  <c r="G36" i="3"/>
  <c r="G42" i="3" s="1"/>
  <c r="D36" i="3"/>
  <c r="D42" i="3" s="1"/>
  <c r="D54" i="3" s="1"/>
  <c r="J31" i="3"/>
  <c r="I31" i="3"/>
  <c r="H31" i="3"/>
  <c r="H37" i="3" s="1"/>
  <c r="H43" i="3" s="1"/>
  <c r="G31" i="3"/>
  <c r="G37" i="3" s="1"/>
  <c r="G43" i="3" s="1"/>
  <c r="F31" i="3"/>
  <c r="E31" i="3"/>
  <c r="D31" i="3"/>
  <c r="C31" i="3"/>
  <c r="J30" i="3"/>
  <c r="I30" i="3"/>
  <c r="H30" i="3"/>
  <c r="G30" i="3"/>
  <c r="F30" i="3"/>
  <c r="E30" i="3"/>
  <c r="D30" i="3"/>
  <c r="C30" i="3"/>
  <c r="J29" i="3"/>
  <c r="I29" i="3"/>
  <c r="H29" i="3"/>
  <c r="G29" i="3"/>
  <c r="F29" i="3"/>
  <c r="E29" i="3"/>
  <c r="D29" i="3"/>
  <c r="C29" i="3"/>
  <c r="J28" i="3"/>
  <c r="J34" i="3" s="1"/>
  <c r="J40" i="3" s="1"/>
  <c r="I28" i="3"/>
  <c r="I34" i="3" s="1"/>
  <c r="I40" i="3" s="1"/>
  <c r="H28" i="3"/>
  <c r="G28" i="3"/>
  <c r="F28" i="3"/>
  <c r="E28" i="3"/>
  <c r="D28" i="3"/>
  <c r="C28" i="3"/>
  <c r="J27" i="3"/>
  <c r="I27" i="3"/>
  <c r="H27" i="3"/>
  <c r="G27" i="3"/>
  <c r="F27" i="3"/>
  <c r="E27" i="3"/>
  <c r="D27" i="3"/>
  <c r="C27" i="3"/>
  <c r="J25" i="3"/>
  <c r="I25" i="3"/>
  <c r="H25" i="3"/>
  <c r="G25" i="3"/>
  <c r="F25" i="3"/>
  <c r="E25" i="3"/>
  <c r="D25" i="3"/>
  <c r="C25" i="3"/>
  <c r="J24" i="3"/>
  <c r="I24" i="3"/>
  <c r="I48" i="3" s="1"/>
  <c r="H24" i="3"/>
  <c r="G24" i="3"/>
  <c r="F24" i="3"/>
  <c r="E24" i="3"/>
  <c r="D24" i="3"/>
  <c r="D48" i="3" s="1"/>
  <c r="C24" i="3"/>
  <c r="J23" i="3"/>
  <c r="I23" i="3"/>
  <c r="H23" i="3"/>
  <c r="G23" i="3"/>
  <c r="F23" i="3"/>
  <c r="F47" i="3" s="1"/>
  <c r="E23" i="3"/>
  <c r="E47" i="3" s="1"/>
  <c r="D23" i="3"/>
  <c r="D47" i="3" s="1"/>
  <c r="C23" i="3"/>
  <c r="C47" i="3" s="1"/>
  <c r="J22" i="3"/>
  <c r="J46" i="3" s="1"/>
  <c r="I22" i="3"/>
  <c r="I46" i="3" s="1"/>
  <c r="H22" i="3"/>
  <c r="H46" i="3" s="1"/>
  <c r="G22" i="3"/>
  <c r="G46" i="3" s="1"/>
  <c r="F22" i="3"/>
  <c r="E22" i="3"/>
  <c r="D22" i="3"/>
  <c r="D46" i="3" s="1"/>
  <c r="C22" i="3"/>
  <c r="C46" i="3" s="1"/>
  <c r="J21" i="3"/>
  <c r="I21" i="3"/>
  <c r="H21" i="3"/>
  <c r="G21" i="3"/>
  <c r="F21" i="3"/>
  <c r="E21" i="3"/>
  <c r="D21" i="3"/>
  <c r="C21" i="3"/>
  <c r="D16" i="3"/>
  <c r="B135" i="2"/>
  <c r="B131" i="2"/>
  <c r="B133" i="2" s="1"/>
  <c r="B134" i="2" s="1"/>
  <c r="K120" i="2"/>
  <c r="K111" i="2"/>
  <c r="J106" i="2"/>
  <c r="I106" i="2"/>
  <c r="H106" i="2"/>
  <c r="G106" i="2"/>
  <c r="D106" i="2"/>
  <c r="I104" i="2"/>
  <c r="J73" i="2"/>
  <c r="I73" i="2"/>
  <c r="H73" i="2"/>
  <c r="G73" i="2"/>
  <c r="F73" i="2"/>
  <c r="E73" i="2"/>
  <c r="D73" i="2"/>
  <c r="C73" i="2"/>
  <c r="J72" i="2"/>
  <c r="I72" i="2"/>
  <c r="H72" i="2"/>
  <c r="G72" i="2"/>
  <c r="F72" i="2"/>
  <c r="E72" i="2"/>
  <c r="D72" i="2"/>
  <c r="C72" i="2"/>
  <c r="J71" i="2"/>
  <c r="I71" i="2"/>
  <c r="H71" i="2"/>
  <c r="G71" i="2"/>
  <c r="F71" i="2"/>
  <c r="E71" i="2"/>
  <c r="D71" i="2"/>
  <c r="C71" i="2"/>
  <c r="J70" i="2"/>
  <c r="I70" i="2"/>
  <c r="H70" i="2"/>
  <c r="G70" i="2"/>
  <c r="F70" i="2"/>
  <c r="E70" i="2"/>
  <c r="D70" i="2"/>
  <c r="C70" i="2"/>
  <c r="J69" i="2"/>
  <c r="I69" i="2"/>
  <c r="H69" i="2"/>
  <c r="G69" i="2"/>
  <c r="F69" i="2"/>
  <c r="E69" i="2"/>
  <c r="D69" i="2"/>
  <c r="C69" i="2"/>
  <c r="J63" i="2"/>
  <c r="G47" i="2"/>
  <c r="F47" i="2"/>
  <c r="E47" i="2"/>
  <c r="D47" i="2"/>
  <c r="H46" i="2"/>
  <c r="H45" i="2"/>
  <c r="G45" i="2"/>
  <c r="E45" i="2"/>
  <c r="D45" i="2"/>
  <c r="J36" i="2"/>
  <c r="J42" i="2" s="1"/>
  <c r="J54" i="2" s="1"/>
  <c r="F36" i="2"/>
  <c r="F42" i="2" s="1"/>
  <c r="F54" i="2" s="1"/>
  <c r="E36" i="2"/>
  <c r="E42" i="2" s="1"/>
  <c r="E54" i="2" s="1"/>
  <c r="D36" i="2"/>
  <c r="D42" i="2" s="1"/>
  <c r="D54" i="2" s="1"/>
  <c r="J35" i="2"/>
  <c r="J41" i="2" s="1"/>
  <c r="J53" i="2" s="1"/>
  <c r="D35" i="2"/>
  <c r="D41" i="2" s="1"/>
  <c r="D34" i="2"/>
  <c r="D40" i="2" s="1"/>
  <c r="D52" i="2" s="1"/>
  <c r="J31" i="2"/>
  <c r="I31" i="2"/>
  <c r="H31" i="2"/>
  <c r="G31" i="2"/>
  <c r="F31" i="2"/>
  <c r="F37" i="2" s="1"/>
  <c r="F43" i="2" s="1"/>
  <c r="F55" i="2" s="1"/>
  <c r="E31" i="2"/>
  <c r="E37" i="2" s="1"/>
  <c r="E43" i="2" s="1"/>
  <c r="D31" i="2"/>
  <c r="C31" i="2"/>
  <c r="J30" i="2"/>
  <c r="I30" i="2"/>
  <c r="H30" i="2"/>
  <c r="G30" i="2"/>
  <c r="F30" i="2"/>
  <c r="E30" i="2"/>
  <c r="D30" i="2"/>
  <c r="C30" i="2"/>
  <c r="C36" i="2" s="1"/>
  <c r="C42" i="2" s="1"/>
  <c r="J29" i="2"/>
  <c r="I29" i="2"/>
  <c r="H29" i="2"/>
  <c r="G29" i="2"/>
  <c r="F29" i="2"/>
  <c r="E29" i="2"/>
  <c r="D29" i="2"/>
  <c r="C29" i="2"/>
  <c r="J28" i="2"/>
  <c r="I28" i="2"/>
  <c r="H28" i="2"/>
  <c r="G28" i="2"/>
  <c r="F28" i="2"/>
  <c r="F34" i="2" s="1"/>
  <c r="F40" i="2" s="1"/>
  <c r="F52" i="2" s="1"/>
  <c r="E28" i="2"/>
  <c r="D28" i="2"/>
  <c r="C28" i="2"/>
  <c r="J27" i="2"/>
  <c r="I27" i="2"/>
  <c r="H27" i="2"/>
  <c r="G27" i="2"/>
  <c r="F27" i="2"/>
  <c r="E27" i="2"/>
  <c r="D27" i="2"/>
  <c r="C27" i="2"/>
  <c r="J25" i="2"/>
  <c r="I25" i="2"/>
  <c r="H25" i="2"/>
  <c r="G25" i="2"/>
  <c r="G63" i="2" s="1"/>
  <c r="G87" i="2" s="1"/>
  <c r="F25" i="2"/>
  <c r="F49" i="2" s="1"/>
  <c r="E25" i="2"/>
  <c r="D25" i="2"/>
  <c r="C25" i="2"/>
  <c r="J24" i="2"/>
  <c r="J48" i="2" s="1"/>
  <c r="I24" i="2"/>
  <c r="H24" i="2"/>
  <c r="G24" i="2"/>
  <c r="G48" i="2" s="1"/>
  <c r="F24" i="2"/>
  <c r="F48" i="2" s="1"/>
  <c r="E24" i="2"/>
  <c r="E48" i="2" s="1"/>
  <c r="D24" i="2"/>
  <c r="D48" i="2" s="1"/>
  <c r="C24" i="2"/>
  <c r="C48" i="2" s="1"/>
  <c r="J23" i="2"/>
  <c r="J47" i="2" s="1"/>
  <c r="I23" i="2"/>
  <c r="I47" i="2" s="1"/>
  <c r="H23" i="2"/>
  <c r="H47" i="2" s="1"/>
  <c r="G23" i="2"/>
  <c r="F23" i="2"/>
  <c r="E23" i="2"/>
  <c r="D23" i="2"/>
  <c r="C23" i="2"/>
  <c r="J22" i="2"/>
  <c r="I22" i="2"/>
  <c r="H22" i="2"/>
  <c r="G22" i="2"/>
  <c r="F22" i="2"/>
  <c r="F46" i="2" s="1"/>
  <c r="E22" i="2"/>
  <c r="D22" i="2"/>
  <c r="D46" i="2" s="1"/>
  <c r="C22" i="2"/>
  <c r="J21" i="2"/>
  <c r="I21" i="2"/>
  <c r="I33" i="2" s="1"/>
  <c r="I39" i="2" s="1"/>
  <c r="H21" i="2"/>
  <c r="G21" i="2"/>
  <c r="F21" i="2"/>
  <c r="E21" i="2"/>
  <c r="D21" i="2"/>
  <c r="D33" i="2" s="1"/>
  <c r="D39" i="2" s="1"/>
  <c r="C21" i="2"/>
  <c r="I16" i="2"/>
  <c r="H16" i="2"/>
  <c r="B37" i="1"/>
  <c r="B38" i="1" s="1"/>
  <c r="B30" i="1"/>
  <c r="B29" i="1"/>
  <c r="I16" i="3" s="1"/>
  <c r="B28" i="1"/>
  <c r="J16" i="4" s="1"/>
  <c r="B23" i="1"/>
  <c r="B26" i="1" s="1"/>
  <c r="B31" i="1" s="1"/>
  <c r="B14" i="1"/>
  <c r="B142" i="2" l="1"/>
  <c r="K114" i="2"/>
  <c r="E26" i="7"/>
  <c r="E23" i="7"/>
  <c r="E34" i="7" s="1"/>
  <c r="E45" i="7" s="1"/>
  <c r="E22" i="7"/>
  <c r="E33" i="7" s="1"/>
  <c r="E44" i="7" s="1"/>
  <c r="I45" i="2"/>
  <c r="I51" i="2" s="1"/>
  <c r="I57" i="2" s="1"/>
  <c r="F48" i="4"/>
  <c r="F36" i="4"/>
  <c r="F42" i="4" s="1"/>
  <c r="F54" i="4" s="1"/>
  <c r="F60" i="4" s="1"/>
  <c r="J33" i="4"/>
  <c r="J39" i="4" s="1"/>
  <c r="J51" i="4" s="1"/>
  <c r="J57" i="4" s="1"/>
  <c r="J45" i="4"/>
  <c r="G55" i="3"/>
  <c r="J52" i="3"/>
  <c r="H55" i="3"/>
  <c r="C37" i="4"/>
  <c r="C43" i="4" s="1"/>
  <c r="C55" i="4" s="1"/>
  <c r="F63" i="3"/>
  <c r="F37" i="3"/>
  <c r="F43" i="3" s="1"/>
  <c r="F49" i="3"/>
  <c r="C63" i="4"/>
  <c r="C87" i="4" s="1"/>
  <c r="G63" i="3"/>
  <c r="G49" i="3"/>
  <c r="G34" i="3"/>
  <c r="G40" i="3" s="1"/>
  <c r="G52" i="3" s="1"/>
  <c r="D53" i="2"/>
  <c r="H63" i="3"/>
  <c r="H49" i="3"/>
  <c r="H34" i="3"/>
  <c r="H40" i="3" s="1"/>
  <c r="H52" i="3" s="1"/>
  <c r="E24" i="7"/>
  <c r="E35" i="7" s="1"/>
  <c r="E46" i="7" s="1"/>
  <c r="I63" i="3"/>
  <c r="I64" i="3" s="1"/>
  <c r="I76" i="3" s="1"/>
  <c r="I82" i="3" s="1"/>
  <c r="I37" i="3"/>
  <c r="I43" i="3" s="1"/>
  <c r="I49" i="3"/>
  <c r="C35" i="3"/>
  <c r="C41" i="3" s="1"/>
  <c r="C53" i="3" s="1"/>
  <c r="J104" i="3"/>
  <c r="J107" i="3" s="1"/>
  <c r="H104" i="2"/>
  <c r="H107" i="2" s="1"/>
  <c r="G104" i="2"/>
  <c r="F104" i="2"/>
  <c r="J37" i="3"/>
  <c r="J43" i="3" s="1"/>
  <c r="D35" i="3"/>
  <c r="D41" i="3" s="1"/>
  <c r="D53" i="3" s="1"/>
  <c r="D59" i="3" s="1"/>
  <c r="E35" i="3"/>
  <c r="E41" i="3" s="1"/>
  <c r="E53" i="3" s="1"/>
  <c r="D60" i="3"/>
  <c r="C45" i="2"/>
  <c r="C33" i="2"/>
  <c r="C39" i="2" s="1"/>
  <c r="C51" i="2" s="1"/>
  <c r="C57" i="2" s="1"/>
  <c r="G36" i="2"/>
  <c r="G42" i="2" s="1"/>
  <c r="G54" i="2" s="1"/>
  <c r="G60" i="2" s="1"/>
  <c r="D51" i="2"/>
  <c r="B142" i="3"/>
  <c r="K114" i="3"/>
  <c r="D11" i="5"/>
  <c r="D12" i="5" s="1"/>
  <c r="B27" i="7"/>
  <c r="E33" i="2"/>
  <c r="E39" i="2" s="1"/>
  <c r="E51" i="2" s="1"/>
  <c r="E57" i="2" s="1"/>
  <c r="C54" i="2"/>
  <c r="D45" i="4"/>
  <c r="D51" i="4" s="1"/>
  <c r="H48" i="4"/>
  <c r="H36" i="4"/>
  <c r="H42" i="4" s="1"/>
  <c r="H54" i="4" s="1"/>
  <c r="G33" i="2"/>
  <c r="G39" i="2" s="1"/>
  <c r="G51" i="2" s="1"/>
  <c r="J35" i="4"/>
  <c r="J41" i="4" s="1"/>
  <c r="J53" i="4" s="1"/>
  <c r="J47" i="4"/>
  <c r="H45" i="4"/>
  <c r="H51" i="4" s="1"/>
  <c r="H57" i="4" s="1"/>
  <c r="C23" i="7"/>
  <c r="C34" i="7" s="1"/>
  <c r="C45" i="7" s="1"/>
  <c r="C22" i="7"/>
  <c r="G48" i="4"/>
  <c r="G36" i="4"/>
  <c r="G42" i="4" s="1"/>
  <c r="G54" i="4" s="1"/>
  <c r="I52" i="3"/>
  <c r="E75" i="4"/>
  <c r="E81" i="4" s="1"/>
  <c r="E87" i="4"/>
  <c r="E25" i="7"/>
  <c r="E36" i="7" s="1"/>
  <c r="E47" i="7" s="1"/>
  <c r="F33" i="2"/>
  <c r="F39" i="2" s="1"/>
  <c r="H33" i="2"/>
  <c r="H39" i="2" s="1"/>
  <c r="H51" i="2" s="1"/>
  <c r="H57" i="2" s="1"/>
  <c r="F45" i="2"/>
  <c r="D26" i="7"/>
  <c r="D23" i="7"/>
  <c r="F35" i="3"/>
  <c r="F41" i="3" s="1"/>
  <c r="E34" i="2"/>
  <c r="E40" i="2" s="1"/>
  <c r="G35" i="3"/>
  <c r="G41" i="3" s="1"/>
  <c r="F37" i="4"/>
  <c r="F43" i="4" s="1"/>
  <c r="F55" i="4" s="1"/>
  <c r="F63" i="4"/>
  <c r="F64" i="4" s="1"/>
  <c r="F16" i="3"/>
  <c r="G54" i="3"/>
  <c r="C33" i="3"/>
  <c r="C39" i="3" s="1"/>
  <c r="I35" i="3"/>
  <c r="I41" i="3" s="1"/>
  <c r="J34" i="4"/>
  <c r="J40" i="4" s="1"/>
  <c r="J52" i="4" s="1"/>
  <c r="I37" i="4"/>
  <c r="I43" i="4" s="1"/>
  <c r="H34" i="4"/>
  <c r="H40" i="4" s="1"/>
  <c r="H52" i="4" s="1"/>
  <c r="C36" i="3"/>
  <c r="C42" i="3" s="1"/>
  <c r="C54" i="3" s="1"/>
  <c r="I34" i="4"/>
  <c r="I40" i="4" s="1"/>
  <c r="I52" i="4" s="1"/>
  <c r="C16" i="2"/>
  <c r="J34" i="2"/>
  <c r="J40" i="2" s="1"/>
  <c r="E35" i="4"/>
  <c r="E41" i="4" s="1"/>
  <c r="E53" i="4" s="1"/>
  <c r="E59" i="4" s="1"/>
  <c r="C35" i="4"/>
  <c r="C41" i="4" s="1"/>
  <c r="C53" i="4" s="1"/>
  <c r="D16" i="2"/>
  <c r="E36" i="3"/>
  <c r="E42" i="3" s="1"/>
  <c r="C34" i="3"/>
  <c r="C40" i="3" s="1"/>
  <c r="C52" i="3" s="1"/>
  <c r="E16" i="2"/>
  <c r="I35" i="2"/>
  <c r="I41" i="2" s="1"/>
  <c r="F63" i="2"/>
  <c r="F64" i="2" s="1"/>
  <c r="F88" i="2" s="1"/>
  <c r="D16" i="4"/>
  <c r="F33" i="4"/>
  <c r="F39" i="4" s="1"/>
  <c r="F51" i="4" s="1"/>
  <c r="D36" i="4"/>
  <c r="D42" i="4" s="1"/>
  <c r="D54" i="4" s="1"/>
  <c r="D60" i="4" s="1"/>
  <c r="C27" i="7"/>
  <c r="C28" i="7" s="1"/>
  <c r="H35" i="2"/>
  <c r="H41" i="2" s="1"/>
  <c r="H53" i="2" s="1"/>
  <c r="D34" i="3"/>
  <c r="D40" i="3" s="1"/>
  <c r="D52" i="3" s="1"/>
  <c r="F16" i="2"/>
  <c r="F60" i="2" s="1"/>
  <c r="G16" i="2"/>
  <c r="G107" i="2" s="1"/>
  <c r="C45" i="3"/>
  <c r="C33" i="4"/>
  <c r="C39" i="4" s="1"/>
  <c r="C51" i="4" s="1"/>
  <c r="H58" i="4"/>
  <c r="J59" i="2"/>
  <c r="F76" i="2"/>
  <c r="F82" i="2" s="1"/>
  <c r="F65" i="2"/>
  <c r="J87" i="2"/>
  <c r="J75" i="2"/>
  <c r="J81" i="2" s="1"/>
  <c r="J93" i="2" s="1"/>
  <c r="F53" i="3"/>
  <c r="H60" i="4"/>
  <c r="G64" i="2"/>
  <c r="E33" i="3"/>
  <c r="E39" i="3" s="1"/>
  <c r="E45" i="3"/>
  <c r="H48" i="2"/>
  <c r="H36" i="2"/>
  <c r="H42" i="2" s="1"/>
  <c r="I33" i="3"/>
  <c r="I39" i="3" s="1"/>
  <c r="I45" i="3"/>
  <c r="I45" i="4"/>
  <c r="I33" i="4"/>
  <c r="I39" i="4" s="1"/>
  <c r="I51" i="4" s="1"/>
  <c r="E52" i="4"/>
  <c r="D37" i="3"/>
  <c r="D43" i="3" s="1"/>
  <c r="D63" i="3"/>
  <c r="D49" i="3"/>
  <c r="D34" i="7"/>
  <c r="D45" i="7" s="1"/>
  <c r="H63" i="2"/>
  <c r="H37" i="2"/>
  <c r="H43" i="2" s="1"/>
  <c r="H49" i="2"/>
  <c r="J64" i="2"/>
  <c r="D52" i="4"/>
  <c r="I53" i="2"/>
  <c r="I59" i="2" s="1"/>
  <c r="J45" i="3"/>
  <c r="J33" i="3"/>
  <c r="J39" i="3" s="1"/>
  <c r="H48" i="3"/>
  <c r="H36" i="3"/>
  <c r="H42" i="3" s="1"/>
  <c r="H54" i="3" s="1"/>
  <c r="F52" i="4"/>
  <c r="I34" i="2"/>
  <c r="I40" i="2" s="1"/>
  <c r="I46" i="2"/>
  <c r="G75" i="2"/>
  <c r="G81" i="2" s="1"/>
  <c r="G93" i="2" s="1"/>
  <c r="F48" i="3"/>
  <c r="F36" i="3"/>
  <c r="F42" i="3" s="1"/>
  <c r="F54" i="3" s="1"/>
  <c r="E46" i="3"/>
  <c r="E34" i="3"/>
  <c r="E40" i="3" s="1"/>
  <c r="E52" i="3" s="1"/>
  <c r="C63" i="3"/>
  <c r="C49" i="3"/>
  <c r="C37" i="3"/>
  <c r="C43" i="3" s="1"/>
  <c r="C55" i="3" s="1"/>
  <c r="C61" i="3" s="1"/>
  <c r="F46" i="3"/>
  <c r="F34" i="3"/>
  <c r="F40" i="3" s="1"/>
  <c r="F52" i="3" s="1"/>
  <c r="F58" i="3" s="1"/>
  <c r="J45" i="2"/>
  <c r="J33" i="2"/>
  <c r="J39" i="2" s="1"/>
  <c r="J51" i="2" s="1"/>
  <c r="J104" i="4"/>
  <c r="J107" i="4" s="1"/>
  <c r="I104" i="4"/>
  <c r="G104" i="4"/>
  <c r="F104" i="4"/>
  <c r="E104" i="4"/>
  <c r="I104" i="3"/>
  <c r="C104" i="4"/>
  <c r="G104" i="3"/>
  <c r="F104" i="3"/>
  <c r="J104" i="2"/>
  <c r="E104" i="2"/>
  <c r="E60" i="2" s="1"/>
  <c r="D104" i="4"/>
  <c r="D61" i="4" s="1"/>
  <c r="D104" i="2"/>
  <c r="D58" i="2" s="1"/>
  <c r="C104" i="2"/>
  <c r="C60" i="2" s="1"/>
  <c r="H104" i="4"/>
  <c r="G37" i="2"/>
  <c r="G43" i="2" s="1"/>
  <c r="G49" i="2"/>
  <c r="F33" i="3"/>
  <c r="F39" i="3" s="1"/>
  <c r="F45" i="3"/>
  <c r="J46" i="2"/>
  <c r="G33" i="3"/>
  <c r="G39" i="3" s="1"/>
  <c r="G45" i="3"/>
  <c r="E48" i="3"/>
  <c r="E54" i="3" s="1"/>
  <c r="E60" i="3" s="1"/>
  <c r="G45" i="4"/>
  <c r="G33" i="4"/>
  <c r="G39" i="4" s="1"/>
  <c r="G51" i="4" s="1"/>
  <c r="E48" i="4"/>
  <c r="E36" i="4"/>
  <c r="E42" i="4" s="1"/>
  <c r="E54" i="4" s="1"/>
  <c r="E60" i="4" s="1"/>
  <c r="C47" i="2"/>
  <c r="C35" i="2"/>
  <c r="C41" i="2" s="1"/>
  <c r="I63" i="2"/>
  <c r="I49" i="2"/>
  <c r="I37" i="2"/>
  <c r="I43" i="2" s="1"/>
  <c r="I55" i="2" s="1"/>
  <c r="I61" i="2" s="1"/>
  <c r="H33" i="3"/>
  <c r="H39" i="3" s="1"/>
  <c r="H45" i="3"/>
  <c r="D58" i="3"/>
  <c r="J37" i="2"/>
  <c r="J43" i="2" s="1"/>
  <c r="J49" i="2"/>
  <c r="E35" i="2"/>
  <c r="E41" i="2" s="1"/>
  <c r="E53" i="2" s="1"/>
  <c r="F35" i="2"/>
  <c r="F41" i="2" s="1"/>
  <c r="F53" i="2" s="1"/>
  <c r="G52" i="4"/>
  <c r="G35" i="2"/>
  <c r="G41" i="2" s="1"/>
  <c r="G53" i="2" s="1"/>
  <c r="J36" i="3"/>
  <c r="J42" i="3" s="1"/>
  <c r="J54" i="3" s="1"/>
  <c r="D33" i="7"/>
  <c r="D44" i="7" s="1"/>
  <c r="C36" i="7"/>
  <c r="C47" i="7" s="1"/>
  <c r="H75" i="3"/>
  <c r="H81" i="3" s="1"/>
  <c r="H87" i="3"/>
  <c r="H64" i="3"/>
  <c r="H37" i="4"/>
  <c r="H43" i="4" s="1"/>
  <c r="H55" i="4" s="1"/>
  <c r="H63" i="4"/>
  <c r="I55" i="4"/>
  <c r="J46" i="4"/>
  <c r="D37" i="7"/>
  <c r="D48" i="7" s="1"/>
  <c r="D27" i="7"/>
  <c r="C37" i="7"/>
  <c r="C48" i="7" s="1"/>
  <c r="J63" i="3"/>
  <c r="J49" i="3"/>
  <c r="I35" i="4"/>
  <c r="I41" i="4" s="1"/>
  <c r="I47" i="4"/>
  <c r="H16" i="3"/>
  <c r="C16" i="4"/>
  <c r="G16" i="3"/>
  <c r="E16" i="3"/>
  <c r="C16" i="3"/>
  <c r="I16" i="4"/>
  <c r="I107" i="4" s="1"/>
  <c r="H16" i="4"/>
  <c r="E16" i="4"/>
  <c r="E57" i="4" s="1"/>
  <c r="G16" i="4"/>
  <c r="F16" i="4"/>
  <c r="F57" i="4" s="1"/>
  <c r="J16" i="2"/>
  <c r="C49" i="2"/>
  <c r="C37" i="2"/>
  <c r="C43" i="2" s="1"/>
  <c r="C55" i="2" s="1"/>
  <c r="E46" i="2"/>
  <c r="E52" i="2" s="1"/>
  <c r="D63" i="2"/>
  <c r="D49" i="2"/>
  <c r="D37" i="2"/>
  <c r="D43" i="2" s="1"/>
  <c r="D55" i="2" s="1"/>
  <c r="D61" i="2" s="1"/>
  <c r="J16" i="3"/>
  <c r="H35" i="3"/>
  <c r="H41" i="3" s="1"/>
  <c r="C36" i="4"/>
  <c r="C42" i="4" s="1"/>
  <c r="C48" i="4"/>
  <c r="C34" i="2"/>
  <c r="C40" i="2" s="1"/>
  <c r="C46" i="2"/>
  <c r="I36" i="2"/>
  <c r="I42" i="2" s="1"/>
  <c r="I48" i="2"/>
  <c r="H47" i="4"/>
  <c r="H35" i="4"/>
  <c r="H41" i="4" s="1"/>
  <c r="H53" i="4" s="1"/>
  <c r="G46" i="2"/>
  <c r="G34" i="2"/>
  <c r="G40" i="2" s="1"/>
  <c r="G52" i="2" s="1"/>
  <c r="G58" i="2" s="1"/>
  <c r="E63" i="2"/>
  <c r="E49" i="2"/>
  <c r="E55" i="2" s="1"/>
  <c r="E61" i="2" s="1"/>
  <c r="I53" i="3"/>
  <c r="G47" i="3"/>
  <c r="G53" i="3" s="1"/>
  <c r="F75" i="4"/>
  <c r="F81" i="4" s="1"/>
  <c r="H34" i="2"/>
  <c r="H40" i="2" s="1"/>
  <c r="H52" i="2" s="1"/>
  <c r="C63" i="2"/>
  <c r="D45" i="3"/>
  <c r="D33" i="3"/>
  <c r="D39" i="3" s="1"/>
  <c r="D51" i="3" s="1"/>
  <c r="D57" i="3" s="1"/>
  <c r="J35" i="3"/>
  <c r="J41" i="3" s="1"/>
  <c r="J53" i="3" s="1"/>
  <c r="H47" i="3"/>
  <c r="G75" i="4"/>
  <c r="G81" i="4" s="1"/>
  <c r="G87" i="4"/>
  <c r="G64" i="4"/>
  <c r="D107" i="3"/>
  <c r="D75" i="4"/>
  <c r="D81" i="4" s="1"/>
  <c r="D93" i="4" s="1"/>
  <c r="D64" i="4"/>
  <c r="E37" i="7"/>
  <c r="E48" i="7" s="1"/>
  <c r="E27" i="7"/>
  <c r="F75" i="3"/>
  <c r="F81" i="3" s="1"/>
  <c r="B38" i="7"/>
  <c r="B49" i="7" s="1"/>
  <c r="B28" i="7"/>
  <c r="I75" i="3"/>
  <c r="I81" i="3" s="1"/>
  <c r="I87" i="3"/>
  <c r="D35" i="4"/>
  <c r="D41" i="4" s="1"/>
  <c r="D53" i="4" s="1"/>
  <c r="J37" i="4"/>
  <c r="J43" i="4" s="1"/>
  <c r="J55" i="4" s="1"/>
  <c r="J63" i="4"/>
  <c r="I63" i="4"/>
  <c r="E63" i="3"/>
  <c r="E49" i="3"/>
  <c r="I107" i="2"/>
  <c r="G55" i="4"/>
  <c r="I36" i="3"/>
  <c r="I42" i="3" s="1"/>
  <c r="I54" i="3" s="1"/>
  <c r="E55" i="4"/>
  <c r="B142" i="4"/>
  <c r="K114" i="4"/>
  <c r="F47" i="4"/>
  <c r="F35" i="4"/>
  <c r="F41" i="4" s="1"/>
  <c r="F53" i="4" s="1"/>
  <c r="C33" i="7"/>
  <c r="C44" i="7" s="1"/>
  <c r="E37" i="3"/>
  <c r="E43" i="3" s="1"/>
  <c r="G35" i="4"/>
  <c r="G41" i="4" s="1"/>
  <c r="G47" i="4"/>
  <c r="D107" i="4"/>
  <c r="E64" i="4"/>
  <c r="D25" i="7"/>
  <c r="D36" i="7" s="1"/>
  <c r="D47" i="7" s="1"/>
  <c r="G75" i="3" l="1"/>
  <c r="G81" i="3" s="1"/>
  <c r="G87" i="3"/>
  <c r="G64" i="3"/>
  <c r="D59" i="2"/>
  <c r="C61" i="2"/>
  <c r="F64" i="3"/>
  <c r="F87" i="3"/>
  <c r="J107" i="2"/>
  <c r="C64" i="4"/>
  <c r="C65" i="4" s="1"/>
  <c r="C61" i="4"/>
  <c r="J99" i="2"/>
  <c r="E99" i="4"/>
  <c r="H59" i="2"/>
  <c r="F61" i="4"/>
  <c r="F60" i="3"/>
  <c r="H93" i="3"/>
  <c r="H99" i="3" s="1"/>
  <c r="J60" i="2"/>
  <c r="I54" i="2"/>
  <c r="I60" i="2" s="1"/>
  <c r="J60" i="3"/>
  <c r="C38" i="7"/>
  <c r="C49" i="7" s="1"/>
  <c r="D57" i="4"/>
  <c r="J59" i="3"/>
  <c r="I65" i="3"/>
  <c r="J57" i="2"/>
  <c r="F59" i="2"/>
  <c r="H54" i="2"/>
  <c r="H60" i="2" s="1"/>
  <c r="F55" i="3"/>
  <c r="F61" i="3" s="1"/>
  <c r="D99" i="4"/>
  <c r="C51" i="3"/>
  <c r="G57" i="4"/>
  <c r="G61" i="3"/>
  <c r="I88" i="3"/>
  <c r="I94" i="3" s="1"/>
  <c r="I100" i="3" s="1"/>
  <c r="F93" i="3"/>
  <c r="F99" i="3" s="1"/>
  <c r="F59" i="3"/>
  <c r="C75" i="4"/>
  <c r="C81" i="4" s="1"/>
  <c r="C93" i="4" s="1"/>
  <c r="C99" i="4" s="1"/>
  <c r="I58" i="3"/>
  <c r="G60" i="4"/>
  <c r="G57" i="2"/>
  <c r="C57" i="3"/>
  <c r="D107" i="2"/>
  <c r="G99" i="2"/>
  <c r="I55" i="3"/>
  <c r="I61" i="3" s="1"/>
  <c r="G59" i="2"/>
  <c r="J52" i="2"/>
  <c r="J58" i="2" s="1"/>
  <c r="H58" i="2"/>
  <c r="E59" i="2"/>
  <c r="F87" i="2"/>
  <c r="D59" i="4"/>
  <c r="F87" i="4"/>
  <c r="F75" i="2"/>
  <c r="F81" i="2" s="1"/>
  <c r="F93" i="2" s="1"/>
  <c r="F99" i="2" s="1"/>
  <c r="D60" i="2"/>
  <c r="F58" i="2"/>
  <c r="E93" i="4"/>
  <c r="F61" i="2"/>
  <c r="E59" i="3"/>
  <c r="J61" i="4"/>
  <c r="J58" i="3"/>
  <c r="J55" i="3"/>
  <c r="H107" i="4"/>
  <c r="J51" i="3"/>
  <c r="J57" i="3" s="1"/>
  <c r="F51" i="2"/>
  <c r="F57" i="2" s="1"/>
  <c r="D57" i="2"/>
  <c r="G76" i="2"/>
  <c r="G82" i="2" s="1"/>
  <c r="G65" i="2"/>
  <c r="G88" i="2"/>
  <c r="H55" i="2"/>
  <c r="H61" i="2" s="1"/>
  <c r="E64" i="3"/>
  <c r="E75" i="3"/>
  <c r="E81" i="3" s="1"/>
  <c r="E87" i="3"/>
  <c r="C52" i="2"/>
  <c r="C58" i="2" s="1"/>
  <c r="C59" i="4"/>
  <c r="I58" i="4"/>
  <c r="I75" i="4"/>
  <c r="I81" i="4" s="1"/>
  <c r="I87" i="4"/>
  <c r="I64" i="4"/>
  <c r="J64" i="4"/>
  <c r="J87" i="4"/>
  <c r="J75" i="4"/>
  <c r="J81" i="4" s="1"/>
  <c r="J93" i="4" s="1"/>
  <c r="J99" i="4" s="1"/>
  <c r="H107" i="3"/>
  <c r="H58" i="3"/>
  <c r="G58" i="4"/>
  <c r="C58" i="3"/>
  <c r="G59" i="3"/>
  <c r="G107" i="4"/>
  <c r="G107" i="3"/>
  <c r="F88" i="4"/>
  <c r="F76" i="4"/>
  <c r="F82" i="4" s="1"/>
  <c r="F94" i="4" s="1"/>
  <c r="F100" i="4" s="1"/>
  <c r="F65" i="4"/>
  <c r="C57" i="4"/>
  <c r="G51" i="3"/>
  <c r="G57" i="3" s="1"/>
  <c r="F93" i="4"/>
  <c r="F99" i="4" s="1"/>
  <c r="I93" i="3"/>
  <c r="I99" i="3" s="1"/>
  <c r="C29" i="7"/>
  <c r="C39" i="7"/>
  <c r="C50" i="7" s="1"/>
  <c r="J87" i="3"/>
  <c r="J75" i="3"/>
  <c r="J81" i="3" s="1"/>
  <c r="J93" i="3" s="1"/>
  <c r="J99" i="3" s="1"/>
  <c r="J64" i="3"/>
  <c r="J60" i="4"/>
  <c r="I52" i="2"/>
  <c r="I58" i="2" s="1"/>
  <c r="G53" i="4"/>
  <c r="G59" i="4" s="1"/>
  <c r="I59" i="3"/>
  <c r="G65" i="3"/>
  <c r="G88" i="3"/>
  <c r="G76" i="3"/>
  <c r="G82" i="3" s="1"/>
  <c r="G94" i="3" s="1"/>
  <c r="G100" i="3" s="1"/>
  <c r="F51" i="3"/>
  <c r="F57" i="3" s="1"/>
  <c r="E55" i="3"/>
  <c r="E61" i="3" s="1"/>
  <c r="D87" i="2"/>
  <c r="D75" i="2"/>
  <c r="D81" i="2" s="1"/>
  <c r="D93" i="2" s="1"/>
  <c r="D99" i="2" s="1"/>
  <c r="D64" i="2"/>
  <c r="F58" i="4"/>
  <c r="I51" i="3"/>
  <c r="I57" i="3" s="1"/>
  <c r="C60" i="3"/>
  <c r="E38" i="7"/>
  <c r="E49" i="7" s="1"/>
  <c r="E28" i="7"/>
  <c r="E75" i="2"/>
  <c r="E81" i="2" s="1"/>
  <c r="E87" i="2"/>
  <c r="E64" i="2"/>
  <c r="E58" i="2"/>
  <c r="D38" i="7"/>
  <c r="D49" i="7" s="1"/>
  <c r="D28" i="7"/>
  <c r="H51" i="3"/>
  <c r="H57" i="3" s="1"/>
  <c r="G55" i="2"/>
  <c r="G61" i="2" s="1"/>
  <c r="E58" i="3"/>
  <c r="I66" i="3"/>
  <c r="I77" i="3"/>
  <c r="I83" i="3" s="1"/>
  <c r="I89" i="3"/>
  <c r="J58" i="4"/>
  <c r="I75" i="2"/>
  <c r="I81" i="2" s="1"/>
  <c r="I64" i="2"/>
  <c r="I87" i="2"/>
  <c r="H75" i="4"/>
  <c r="H81" i="4" s="1"/>
  <c r="H64" i="4"/>
  <c r="H87" i="4"/>
  <c r="C53" i="2"/>
  <c r="C59" i="2" s="1"/>
  <c r="F66" i="2"/>
  <c r="F89" i="2"/>
  <c r="F77" i="2"/>
  <c r="F83" i="2" s="1"/>
  <c r="F95" i="2" s="1"/>
  <c r="F101" i="2" s="1"/>
  <c r="H64" i="2"/>
  <c r="H87" i="2"/>
  <c r="H75" i="2"/>
  <c r="H81" i="2" s="1"/>
  <c r="H93" i="2" s="1"/>
  <c r="H99" i="2" s="1"/>
  <c r="C58" i="4"/>
  <c r="I53" i="4"/>
  <c r="I59" i="4" s="1"/>
  <c r="D64" i="3"/>
  <c r="D75" i="3"/>
  <c r="D81" i="3" s="1"/>
  <c r="D87" i="3"/>
  <c r="D55" i="3"/>
  <c r="D61" i="3" s="1"/>
  <c r="I107" i="3"/>
  <c r="J55" i="2"/>
  <c r="J61" i="2" s="1"/>
  <c r="I57" i="4"/>
  <c r="C76" i="4"/>
  <c r="C82" i="4" s="1"/>
  <c r="I61" i="4"/>
  <c r="H61" i="4"/>
  <c r="F94" i="2"/>
  <c r="F100" i="2" s="1"/>
  <c r="H61" i="3"/>
  <c r="C64" i="3"/>
  <c r="C75" i="3"/>
  <c r="C81" i="3" s="1"/>
  <c r="C87" i="3"/>
  <c r="G58" i="3"/>
  <c r="C87" i="2"/>
  <c r="C75" i="2"/>
  <c r="C81" i="2" s="1"/>
  <c r="C93" i="2" s="1"/>
  <c r="C99" i="2" s="1"/>
  <c r="C64" i="2"/>
  <c r="E65" i="4"/>
  <c r="E88" i="4"/>
  <c r="E76" i="4"/>
  <c r="E82" i="4" s="1"/>
  <c r="E94" i="4" s="1"/>
  <c r="E100" i="4" s="1"/>
  <c r="C54" i="4"/>
  <c r="C60" i="4" s="1"/>
  <c r="J59" i="4"/>
  <c r="H53" i="3"/>
  <c r="H59" i="3" s="1"/>
  <c r="C59" i="3"/>
  <c r="E58" i="4"/>
  <c r="J61" i="3"/>
  <c r="B29" i="7"/>
  <c r="B39" i="7"/>
  <c r="B50" i="7" s="1"/>
  <c r="F59" i="4"/>
  <c r="H60" i="3"/>
  <c r="D76" i="4"/>
  <c r="D82" i="4" s="1"/>
  <c r="D88" i="4"/>
  <c r="D65" i="4"/>
  <c r="G60" i="3"/>
  <c r="E61" i="4"/>
  <c r="G65" i="4"/>
  <c r="G88" i="4"/>
  <c r="G76" i="4"/>
  <c r="G82" i="4" s="1"/>
  <c r="G94" i="4" s="1"/>
  <c r="G100" i="4" s="1"/>
  <c r="H59" i="4"/>
  <c r="I60" i="3"/>
  <c r="H88" i="3"/>
  <c r="H65" i="3"/>
  <c r="H76" i="3"/>
  <c r="H82" i="3" s="1"/>
  <c r="H94" i="3" s="1"/>
  <c r="H100" i="3" s="1"/>
  <c r="D58" i="4"/>
  <c r="G61" i="4"/>
  <c r="G93" i="4"/>
  <c r="G99" i="4" s="1"/>
  <c r="I60" i="4"/>
  <c r="J65" i="2"/>
  <c r="J88" i="2"/>
  <c r="J76" i="2"/>
  <c r="J82" i="2" s="1"/>
  <c r="E51" i="3"/>
  <c r="E57" i="3" s="1"/>
  <c r="F65" i="3" l="1"/>
  <c r="F76" i="3"/>
  <c r="F82" i="3" s="1"/>
  <c r="F88" i="3"/>
  <c r="J94" i="2"/>
  <c r="J100" i="2" s="1"/>
  <c r="G94" i="2"/>
  <c r="G100" i="2" s="1"/>
  <c r="C88" i="4"/>
  <c r="G93" i="3"/>
  <c r="G99" i="3" s="1"/>
  <c r="J66" i="2"/>
  <c r="J89" i="2"/>
  <c r="J77" i="2"/>
  <c r="J83" i="2" s="1"/>
  <c r="J95" i="2" s="1"/>
  <c r="J101" i="2" s="1"/>
  <c r="J88" i="4"/>
  <c r="J76" i="4"/>
  <c r="J82" i="4" s="1"/>
  <c r="J94" i="4" s="1"/>
  <c r="J100" i="4" s="1"/>
  <c r="J65" i="4"/>
  <c r="B40" i="7"/>
  <c r="B51" i="7" s="1"/>
  <c r="B30" i="7"/>
  <c r="C94" i="4"/>
  <c r="C100" i="4" s="1"/>
  <c r="C30" i="7"/>
  <c r="C40" i="7"/>
  <c r="C51" i="7" s="1"/>
  <c r="I93" i="2"/>
  <c r="I99" i="2" s="1"/>
  <c r="D93" i="3"/>
  <c r="D99" i="3" s="1"/>
  <c r="F77" i="4"/>
  <c r="F83" i="4" s="1"/>
  <c r="F95" i="4" s="1"/>
  <c r="F101" i="4" s="1"/>
  <c r="F89" i="4"/>
  <c r="F66" i="4"/>
  <c r="E93" i="3"/>
  <c r="E99" i="3" s="1"/>
  <c r="G89" i="3"/>
  <c r="G77" i="3"/>
  <c r="G83" i="3" s="1"/>
  <c r="G66" i="3"/>
  <c r="C93" i="3"/>
  <c r="C99" i="3" s="1"/>
  <c r="F67" i="2"/>
  <c r="F90" i="2"/>
  <c r="F78" i="2"/>
  <c r="F84" i="2" s="1"/>
  <c r="F96" i="2" s="1"/>
  <c r="F102" i="2" s="1"/>
  <c r="D29" i="7"/>
  <c r="D39" i="7"/>
  <c r="D50" i="7" s="1"/>
  <c r="C89" i="4"/>
  <c r="C77" i="4"/>
  <c r="C83" i="4" s="1"/>
  <c r="C95" i="4" s="1"/>
  <c r="C101" i="4" s="1"/>
  <c r="C66" i="4"/>
  <c r="I88" i="4"/>
  <c r="I76" i="4"/>
  <c r="I82" i="4" s="1"/>
  <c r="I65" i="4"/>
  <c r="H93" i="4"/>
  <c r="H99" i="4" s="1"/>
  <c r="I93" i="4"/>
  <c r="I99" i="4" s="1"/>
  <c r="D88" i="3"/>
  <c r="D65" i="3"/>
  <c r="D76" i="3"/>
  <c r="D82" i="3" s="1"/>
  <c r="D94" i="3" s="1"/>
  <c r="D100" i="3" s="1"/>
  <c r="D89" i="4"/>
  <c r="D77" i="4"/>
  <c r="D83" i="4" s="1"/>
  <c r="D95" i="4" s="1"/>
  <c r="D101" i="4" s="1"/>
  <c r="D66" i="4"/>
  <c r="E93" i="2"/>
  <c r="E99" i="2" s="1"/>
  <c r="E29" i="7"/>
  <c r="E39" i="7"/>
  <c r="E50" i="7" s="1"/>
  <c r="C76" i="2"/>
  <c r="C82" i="2" s="1"/>
  <c r="C88" i="2"/>
  <c r="C65" i="2"/>
  <c r="G66" i="4"/>
  <c r="G89" i="4"/>
  <c r="G77" i="4"/>
  <c r="G83" i="4" s="1"/>
  <c r="G95" i="4" s="1"/>
  <c r="G101" i="4" s="1"/>
  <c r="C76" i="3"/>
  <c r="C82" i="3" s="1"/>
  <c r="C88" i="3"/>
  <c r="C65" i="3"/>
  <c r="H88" i="4"/>
  <c r="H76" i="4"/>
  <c r="H82" i="4" s="1"/>
  <c r="H94" i="4" s="1"/>
  <c r="H100" i="4" s="1"/>
  <c r="H65" i="4"/>
  <c r="I76" i="2"/>
  <c r="I82" i="2" s="1"/>
  <c r="I65" i="2"/>
  <c r="I88" i="2"/>
  <c r="H77" i="3"/>
  <c r="H83" i="3" s="1"/>
  <c r="H66" i="3"/>
  <c r="H89" i="3"/>
  <c r="D76" i="2"/>
  <c r="D82" i="2" s="1"/>
  <c r="D65" i="2"/>
  <c r="D88" i="2"/>
  <c r="E89" i="4"/>
  <c r="E77" i="4"/>
  <c r="E83" i="4" s="1"/>
  <c r="E95" i="4" s="1"/>
  <c r="E101" i="4" s="1"/>
  <c r="E66" i="4"/>
  <c r="I95" i="3"/>
  <c r="I101" i="3" s="1"/>
  <c r="I78" i="3"/>
  <c r="I84" i="3" s="1"/>
  <c r="I67" i="3"/>
  <c r="I90" i="3"/>
  <c r="E76" i="3"/>
  <c r="E82" i="3" s="1"/>
  <c r="E65" i="3"/>
  <c r="E88" i="3"/>
  <c r="H65" i="2"/>
  <c r="H88" i="2"/>
  <c r="H76" i="2"/>
  <c r="H82" i="2" s="1"/>
  <c r="H94" i="2" s="1"/>
  <c r="H100" i="2" s="1"/>
  <c r="G66" i="2"/>
  <c r="G77" i="2"/>
  <c r="G83" i="2" s="1"/>
  <c r="G89" i="2"/>
  <c r="D94" i="4"/>
  <c r="D100" i="4" s="1"/>
  <c r="E76" i="2"/>
  <c r="E82" i="2" s="1"/>
  <c r="E88" i="2"/>
  <c r="E65" i="2"/>
  <c r="J88" i="3"/>
  <c r="J65" i="3"/>
  <c r="J76" i="3"/>
  <c r="J82" i="3" s="1"/>
  <c r="J94" i="3" s="1"/>
  <c r="J100" i="3" s="1"/>
  <c r="C94" i="3" l="1"/>
  <c r="C100" i="3" s="1"/>
  <c r="F94" i="3"/>
  <c r="F100" i="3" s="1"/>
  <c r="F89" i="3"/>
  <c r="F77" i="3"/>
  <c r="F83" i="3" s="1"/>
  <c r="F66" i="3"/>
  <c r="C94" i="2"/>
  <c r="C100" i="2" s="1"/>
  <c r="G78" i="2"/>
  <c r="G84" i="2" s="1"/>
  <c r="G67" i="2"/>
  <c r="G90" i="2"/>
  <c r="G95" i="3"/>
  <c r="G101" i="3" s="1"/>
  <c r="H77" i="2"/>
  <c r="H83" i="2" s="1"/>
  <c r="H66" i="2"/>
  <c r="H89" i="2"/>
  <c r="F67" i="4"/>
  <c r="F78" i="4"/>
  <c r="F84" i="4" s="1"/>
  <c r="F90" i="4"/>
  <c r="I94" i="2"/>
  <c r="I100" i="2" s="1"/>
  <c r="E89" i="2"/>
  <c r="E66" i="2"/>
  <c r="E77" i="2"/>
  <c r="E83" i="2" s="1"/>
  <c r="E95" i="2" s="1"/>
  <c r="E101" i="2" s="1"/>
  <c r="D30" i="7"/>
  <c r="D40" i="7"/>
  <c r="D51" i="7" s="1"/>
  <c r="G95" i="2"/>
  <c r="G101" i="2" s="1"/>
  <c r="J78" i="2"/>
  <c r="J84" i="2" s="1"/>
  <c r="J67" i="2"/>
  <c r="J90" i="2"/>
  <c r="D67" i="4"/>
  <c r="D78" i="4"/>
  <c r="D84" i="4" s="1"/>
  <c r="D90" i="4"/>
  <c r="D89" i="3"/>
  <c r="D66" i="3"/>
  <c r="D77" i="3"/>
  <c r="D83" i="3" s="1"/>
  <c r="D95" i="3" s="1"/>
  <c r="D101" i="3" s="1"/>
  <c r="J77" i="4"/>
  <c r="J83" i="4" s="1"/>
  <c r="J89" i="4"/>
  <c r="J66" i="4"/>
  <c r="D94" i="2"/>
  <c r="D100" i="2" s="1"/>
  <c r="F91" i="2"/>
  <c r="F79" i="2"/>
  <c r="F85" i="2" s="1"/>
  <c r="H67" i="3"/>
  <c r="H78" i="3"/>
  <c r="H84" i="3" s="1"/>
  <c r="H90" i="3"/>
  <c r="H95" i="3"/>
  <c r="H101" i="3" s="1"/>
  <c r="I89" i="2"/>
  <c r="I66" i="2"/>
  <c r="I77" i="2"/>
  <c r="I83" i="2" s="1"/>
  <c r="E89" i="3"/>
  <c r="E77" i="3"/>
  <c r="E83" i="3" s="1"/>
  <c r="E95" i="3" s="1"/>
  <c r="E101" i="3" s="1"/>
  <c r="E66" i="3"/>
  <c r="E94" i="3"/>
  <c r="E100" i="3" s="1"/>
  <c r="C31" i="7"/>
  <c r="C42" i="7" s="1"/>
  <c r="C41" i="7"/>
  <c r="C52" i="7" s="1"/>
  <c r="E78" i="4"/>
  <c r="E84" i="4" s="1"/>
  <c r="E67" i="4"/>
  <c r="E90" i="4"/>
  <c r="C78" i="4"/>
  <c r="C84" i="4" s="1"/>
  <c r="C67" i="4"/>
  <c r="C90" i="4"/>
  <c r="E94" i="2"/>
  <c r="E100" i="2" s="1"/>
  <c r="B31" i="7"/>
  <c r="B42" i="7" s="1"/>
  <c r="B41" i="7"/>
  <c r="B52" i="7" s="1"/>
  <c r="G78" i="4"/>
  <c r="G84" i="4" s="1"/>
  <c r="G67" i="4"/>
  <c r="G90" i="4"/>
  <c r="C66" i="2"/>
  <c r="C77" i="2"/>
  <c r="C83" i="2" s="1"/>
  <c r="C89" i="2"/>
  <c r="D89" i="2"/>
  <c r="D66" i="2"/>
  <c r="D77" i="2"/>
  <c r="D83" i="2" s="1"/>
  <c r="D95" i="2" s="1"/>
  <c r="D101" i="2" s="1"/>
  <c r="E30" i="7"/>
  <c r="E40" i="7"/>
  <c r="E51" i="7" s="1"/>
  <c r="G78" i="3"/>
  <c r="G84" i="3" s="1"/>
  <c r="G67" i="3"/>
  <c r="G90" i="3"/>
  <c r="H89" i="4"/>
  <c r="H77" i="4"/>
  <c r="H83" i="4" s="1"/>
  <c r="H95" i="4" s="1"/>
  <c r="H101" i="4" s="1"/>
  <c r="H66" i="4"/>
  <c r="J66" i="3"/>
  <c r="J77" i="3"/>
  <c r="J83" i="3" s="1"/>
  <c r="J89" i="3"/>
  <c r="I91" i="3"/>
  <c r="I79" i="3"/>
  <c r="I85" i="3" s="1"/>
  <c r="C66" i="3"/>
  <c r="C89" i="3"/>
  <c r="C77" i="3"/>
  <c r="C83" i="3" s="1"/>
  <c r="C95" i="3" s="1"/>
  <c r="C101" i="3" s="1"/>
  <c r="I77" i="4"/>
  <c r="I83" i="4" s="1"/>
  <c r="I89" i="4"/>
  <c r="I66" i="4"/>
  <c r="I96" i="3"/>
  <c r="I102" i="3" s="1"/>
  <c r="I94" i="4"/>
  <c r="I100" i="4" s="1"/>
  <c r="H95" i="2" l="1"/>
  <c r="H101" i="2" s="1"/>
  <c r="F90" i="3"/>
  <c r="F78" i="3"/>
  <c r="F84" i="3" s="1"/>
  <c r="F96" i="3" s="1"/>
  <c r="F102" i="3" s="1"/>
  <c r="F67" i="3"/>
  <c r="F95" i="3"/>
  <c r="F101" i="3" s="1"/>
  <c r="F79" i="4"/>
  <c r="F85" i="4" s="1"/>
  <c r="F91" i="4"/>
  <c r="H67" i="4"/>
  <c r="H78" i="4"/>
  <c r="H84" i="4" s="1"/>
  <c r="H90" i="4"/>
  <c r="D90" i="3"/>
  <c r="D78" i="3"/>
  <c r="D84" i="3" s="1"/>
  <c r="D96" i="3" s="1"/>
  <c r="D102" i="3" s="1"/>
  <c r="D67" i="3"/>
  <c r="D96" i="4"/>
  <c r="D102" i="4" s="1"/>
  <c r="G79" i="2"/>
  <c r="G85" i="2" s="1"/>
  <c r="G91" i="2"/>
  <c r="J91" i="2"/>
  <c r="J79" i="2"/>
  <c r="J85" i="2" s="1"/>
  <c r="D67" i="2"/>
  <c r="D90" i="2"/>
  <c r="D78" i="2"/>
  <c r="D84" i="2" s="1"/>
  <c r="D96" i="2" s="1"/>
  <c r="D102" i="2" s="1"/>
  <c r="J96" i="2"/>
  <c r="J102" i="2" s="1"/>
  <c r="I95" i="2"/>
  <c r="I101" i="2" s="1"/>
  <c r="J95" i="3"/>
  <c r="J101" i="3" s="1"/>
  <c r="C91" i="4"/>
  <c r="C79" i="4"/>
  <c r="C85" i="4" s="1"/>
  <c r="C96" i="4"/>
  <c r="C102" i="4" s="1"/>
  <c r="E91" i="4"/>
  <c r="E79" i="4"/>
  <c r="E85" i="4" s="1"/>
  <c r="C55" i="7"/>
  <c r="C56" i="7" s="1"/>
  <c r="C53" i="7"/>
  <c r="G96" i="2"/>
  <c r="G102" i="2" s="1"/>
  <c r="I90" i="2"/>
  <c r="I78" i="2"/>
  <c r="I84" i="2" s="1"/>
  <c r="I96" i="2" s="1"/>
  <c r="I102" i="2" s="1"/>
  <c r="I67" i="2"/>
  <c r="I95" i="4"/>
  <c r="I101" i="4" s="1"/>
  <c r="E67" i="2"/>
  <c r="E90" i="2"/>
  <c r="E78" i="2"/>
  <c r="E84" i="2" s="1"/>
  <c r="E96" i="2" s="1"/>
  <c r="E102" i="2" s="1"/>
  <c r="B55" i="7"/>
  <c r="B56" i="7" s="1"/>
  <c r="B53" i="7"/>
  <c r="B54" i="7" s="1"/>
  <c r="B57" i="7" s="1"/>
  <c r="B58" i="7" s="1"/>
  <c r="B59" i="7" s="1"/>
  <c r="B60" i="7" s="1"/>
  <c r="E96" i="4"/>
  <c r="E102" i="4" s="1"/>
  <c r="G91" i="3"/>
  <c r="G79" i="3"/>
  <c r="G85" i="3" s="1"/>
  <c r="G97" i="3" s="1"/>
  <c r="G103" i="3" s="1"/>
  <c r="E31" i="7"/>
  <c r="E42" i="7" s="1"/>
  <c r="E41" i="7"/>
  <c r="E52" i="7" s="1"/>
  <c r="I78" i="4"/>
  <c r="I84" i="4" s="1"/>
  <c r="I67" i="4"/>
  <c r="I90" i="4"/>
  <c r="D31" i="7"/>
  <c r="D42" i="7" s="1"/>
  <c r="D41" i="7"/>
  <c r="D52" i="7" s="1"/>
  <c r="H96" i="3"/>
  <c r="H102" i="3" s="1"/>
  <c r="C54" i="7"/>
  <c r="C57" i="7" s="1"/>
  <c r="C58" i="7" s="1"/>
  <c r="C59" i="7" s="1"/>
  <c r="C60" i="7" s="1"/>
  <c r="E67" i="3"/>
  <c r="E78" i="3"/>
  <c r="E84" i="3" s="1"/>
  <c r="E90" i="3"/>
  <c r="C67" i="2"/>
  <c r="C90" i="2"/>
  <c r="C78" i="2"/>
  <c r="C84" i="2" s="1"/>
  <c r="C96" i="2" s="1"/>
  <c r="C102" i="2" s="1"/>
  <c r="H79" i="3"/>
  <c r="H85" i="3" s="1"/>
  <c r="H91" i="3"/>
  <c r="F96" i="4"/>
  <c r="F102" i="4" s="1"/>
  <c r="J78" i="4"/>
  <c r="J84" i="4" s="1"/>
  <c r="J90" i="4"/>
  <c r="J67" i="4"/>
  <c r="J90" i="3"/>
  <c r="J67" i="3"/>
  <c r="J78" i="3"/>
  <c r="J84" i="3" s="1"/>
  <c r="J95" i="4"/>
  <c r="J101" i="4" s="1"/>
  <c r="H78" i="2"/>
  <c r="H84" i="2" s="1"/>
  <c r="H90" i="2"/>
  <c r="H67" i="2"/>
  <c r="G96" i="3"/>
  <c r="G102" i="3" s="1"/>
  <c r="D79" i="4"/>
  <c r="D85" i="4" s="1"/>
  <c r="D91" i="4"/>
  <c r="C95" i="2"/>
  <c r="C101" i="2" s="1"/>
  <c r="G91" i="4"/>
  <c r="G79" i="4"/>
  <c r="G85" i="4" s="1"/>
  <c r="G97" i="4" s="1"/>
  <c r="G103" i="4" s="1"/>
  <c r="C78" i="3"/>
  <c r="C84" i="3" s="1"/>
  <c r="C90" i="3"/>
  <c r="C67" i="3"/>
  <c r="G96" i="4"/>
  <c r="G102" i="4" s="1"/>
  <c r="I97" i="3"/>
  <c r="I103" i="3" s="1"/>
  <c r="I105" i="3" s="1"/>
  <c r="I109" i="3" s="1"/>
  <c r="F97" i="2"/>
  <c r="G105" i="3" l="1"/>
  <c r="G109" i="3" s="1"/>
  <c r="F91" i="3"/>
  <c r="F79" i="3"/>
  <c r="F85" i="3" s="1"/>
  <c r="F97" i="3" s="1"/>
  <c r="J96" i="3"/>
  <c r="J102" i="3" s="1"/>
  <c r="H97" i="3"/>
  <c r="H103" i="3" s="1"/>
  <c r="H105" i="3" s="1"/>
  <c r="H109" i="3" s="1"/>
  <c r="E79" i="2"/>
  <c r="E85" i="2" s="1"/>
  <c r="E91" i="2"/>
  <c r="E79" i="3"/>
  <c r="E85" i="3" s="1"/>
  <c r="E91" i="3"/>
  <c r="H96" i="2"/>
  <c r="H102" i="2" s="1"/>
  <c r="H96" i="4"/>
  <c r="H102" i="4" s="1"/>
  <c r="G105" i="4"/>
  <c r="G109" i="4" s="1"/>
  <c r="C79" i="2"/>
  <c r="C85" i="2" s="1"/>
  <c r="C91" i="2"/>
  <c r="E97" i="4"/>
  <c r="I91" i="4"/>
  <c r="I79" i="4"/>
  <c r="I85" i="4" s="1"/>
  <c r="C79" i="3"/>
  <c r="C85" i="3" s="1"/>
  <c r="C91" i="3"/>
  <c r="G97" i="2"/>
  <c r="G103" i="2" s="1"/>
  <c r="G105" i="2" s="1"/>
  <c r="G109" i="2" s="1"/>
  <c r="D55" i="7"/>
  <c r="D56" i="7" s="1"/>
  <c r="D53" i="7"/>
  <c r="D54" i="7" s="1"/>
  <c r="D57" i="7" s="1"/>
  <c r="D58" i="7" s="1"/>
  <c r="D59" i="7" s="1"/>
  <c r="D60" i="7" s="1"/>
  <c r="H79" i="4"/>
  <c r="H85" i="4" s="1"/>
  <c r="H91" i="4"/>
  <c r="C96" i="3"/>
  <c r="C102" i="3" s="1"/>
  <c r="H91" i="2"/>
  <c r="H79" i="2"/>
  <c r="H85" i="2" s="1"/>
  <c r="D91" i="2"/>
  <c r="D79" i="2"/>
  <c r="D85" i="2" s="1"/>
  <c r="J97" i="2"/>
  <c r="J103" i="2" s="1"/>
  <c r="J105" i="2" s="1"/>
  <c r="J109" i="2" s="1"/>
  <c r="E96" i="3"/>
  <c r="E102" i="3" s="1"/>
  <c r="D97" i="4"/>
  <c r="D103" i="4" s="1"/>
  <c r="D105" i="4" s="1"/>
  <c r="D109" i="4" s="1"/>
  <c r="I79" i="2"/>
  <c r="I85" i="2" s="1"/>
  <c r="I91" i="2"/>
  <c r="D91" i="3"/>
  <c r="D79" i="3"/>
  <c r="D85" i="3" s="1"/>
  <c r="D97" i="3" s="1"/>
  <c r="D103" i="3" s="1"/>
  <c r="D105" i="3" s="1"/>
  <c r="D109" i="3" s="1"/>
  <c r="J79" i="3"/>
  <c r="J85" i="3" s="1"/>
  <c r="J91" i="3"/>
  <c r="F97" i="4"/>
  <c r="I96" i="4"/>
  <c r="I102" i="4" s="1"/>
  <c r="C97" i="4"/>
  <c r="J91" i="4"/>
  <c r="J79" i="4"/>
  <c r="J85" i="4" s="1"/>
  <c r="J97" i="4" s="1"/>
  <c r="J103" i="4" s="1"/>
  <c r="J105" i="4" s="1"/>
  <c r="J109" i="4" s="1"/>
  <c r="F103" i="2"/>
  <c r="F105" i="2" s="1"/>
  <c r="F109" i="2" s="1"/>
  <c r="F106" i="2"/>
  <c r="F107" i="2" s="1"/>
  <c r="E55" i="7"/>
  <c r="E56" i="7" s="1"/>
  <c r="E53" i="7"/>
  <c r="E54" i="7" s="1"/>
  <c r="E57" i="7" s="1"/>
  <c r="E58" i="7" s="1"/>
  <c r="E59" i="7" s="1"/>
  <c r="E60" i="7" s="1"/>
  <c r="J96" i="4"/>
  <c r="J102" i="4" s="1"/>
  <c r="D97" i="2" l="1"/>
  <c r="D103" i="2" s="1"/>
  <c r="D105" i="2" s="1"/>
  <c r="D109" i="2" s="1"/>
  <c r="F103" i="3"/>
  <c r="F105" i="3" s="1"/>
  <c r="F109" i="3" s="1"/>
  <c r="F106" i="3"/>
  <c r="F107" i="3" s="1"/>
  <c r="I97" i="2"/>
  <c r="I103" i="2" s="1"/>
  <c r="I105" i="2" s="1"/>
  <c r="I109" i="2" s="1"/>
  <c r="I97" i="4"/>
  <c r="I103" i="4" s="1"/>
  <c r="I105" i="4" s="1"/>
  <c r="I109" i="4" s="1"/>
  <c r="C106" i="4"/>
  <c r="C107" i="4" s="1"/>
  <c r="C103" i="4"/>
  <c r="C105" i="4" s="1"/>
  <c r="C109" i="4" s="1"/>
  <c r="F106" i="4"/>
  <c r="F107" i="4" s="1"/>
  <c r="F103" i="4"/>
  <c r="F105" i="4" s="1"/>
  <c r="H97" i="4"/>
  <c r="H103" i="4" s="1"/>
  <c r="H105" i="4" s="1"/>
  <c r="H109" i="4" s="1"/>
  <c r="E97" i="3"/>
  <c r="C97" i="3"/>
  <c r="J97" i="3"/>
  <c r="J103" i="3" s="1"/>
  <c r="J105" i="3" s="1"/>
  <c r="J109" i="3" s="1"/>
  <c r="E106" i="4"/>
  <c r="E107" i="4" s="1"/>
  <c r="E103" i="4"/>
  <c r="E105" i="4" s="1"/>
  <c r="C97" i="2"/>
  <c r="H97" i="2"/>
  <c r="H103" i="2" s="1"/>
  <c r="H105" i="2" s="1"/>
  <c r="H109" i="2" s="1"/>
  <c r="E97" i="2"/>
  <c r="F109" i="4" l="1"/>
  <c r="C106" i="2"/>
  <c r="C107" i="2" s="1"/>
  <c r="C103" i="2"/>
  <c r="C105" i="2" s="1"/>
  <c r="C109" i="2" s="1"/>
  <c r="E103" i="3"/>
  <c r="E105" i="3" s="1"/>
  <c r="E106" i="3"/>
  <c r="E107" i="3" s="1"/>
  <c r="E103" i="2"/>
  <c r="E105" i="2" s="1"/>
  <c r="E106" i="2"/>
  <c r="E107" i="2" s="1"/>
  <c r="E109" i="4"/>
  <c r="C103" i="3"/>
  <c r="C105" i="3" s="1"/>
  <c r="C106" i="3"/>
  <c r="C107" i="3" s="1"/>
  <c r="K110" i="4"/>
  <c r="K109" i="4"/>
  <c r="K119" i="4" s="1"/>
  <c r="K122" i="4" s="1"/>
  <c r="B19" i="6" s="1"/>
  <c r="E19" i="6" s="1"/>
  <c r="E109" i="2" l="1"/>
  <c r="C109" i="3"/>
  <c r="E109" i="3"/>
  <c r="K110" i="2"/>
  <c r="K109" i="2"/>
  <c r="K119" i="2" s="1"/>
  <c r="K122" i="2" s="1"/>
  <c r="B18" i="6" s="1"/>
  <c r="E18" i="6" s="1"/>
  <c r="K110" i="3" l="1"/>
  <c r="K109" i="3"/>
  <c r="K119" i="3" s="1"/>
  <c r="K122" i="3" s="1"/>
  <c r="B17" i="6" s="1"/>
  <c r="E21" i="6" l="1"/>
  <c r="B21" i="6"/>
  <c r="E17" i="6"/>
</calcChain>
</file>

<file path=xl/sharedStrings.xml><?xml version="1.0" encoding="utf-8"?>
<sst xmlns="http://schemas.openxmlformats.org/spreadsheetml/2006/main" count="709" uniqueCount="375">
  <si>
    <t>FinSurf — SOTP-DCF Inputs</t>
  </si>
  <si>
    <t>Phase 2 v3 — per-Segment WACC (Damodaran β), shared D/E + tax. Column C = Reasoning.</t>
  </si>
  <si>
    <t>── Company ──</t>
  </si>
  <si>
    <t>Company</t>
  </si>
  <si>
    <t>Deutsche Telekom AG</t>
  </si>
  <si>
    <t>Ticker</t>
  </si>
  <si>
    <t>DTE.DE</t>
  </si>
  <si>
    <t>Currency</t>
  </si>
  <si>
    <t>EUR</t>
  </si>
  <si>
    <t>Report Date (ISO)</t>
  </si>
  <si>
    <t>2025-12-31</t>
  </si>
  <si>
    <t>── Group Bilanz (Y0) ──</t>
  </si>
  <si>
    <t>Shares Outstanding (Mio.)</t>
  </si>
  <si>
    <t>Cash (Mio.)</t>
  </si>
  <si>
    <t>Total Debt ex-Leases (Mio.)</t>
  </si>
  <si>
    <t>Net Debt (Mio.) [calc]</t>
  </si>
  <si>
    <t>Minority Interest (Mio.)</t>
  </si>
  <si>
    <t>── WACC Build-Up (Group-Defaults; Segmente überschreiben β) ──</t>
  </si>
  <si>
    <t>← Reasoning (Writer befüllt)</t>
  </si>
  <si>
    <t>Risk-Free Rate (Rf)</t>
  </si>
  <si>
    <t>Bund 10y 31.12.2025</t>
  </si>
  <si>
    <t>Equity Risk Premium (ERP)</t>
  </si>
  <si>
    <t>Damodaran Europe (deterministisch)</t>
  </si>
  <si>
    <t>Unlevered Beta (Group, Fallback)</t>
  </si>
  <si>
    <t>Damodaran Sektor-Beta, aus data/industry_betas.json</t>
  </si>
  <si>
    <t>Target D/E</t>
  </si>
  <si>
    <t>(Kapitalstruktur-Annahme: Writer)</t>
  </si>
  <si>
    <t>Tax Rate</t>
  </si>
  <si>
    <t>(Effektiver Steuersatz: Writer)</t>
  </si>
  <si>
    <t>Levered Beta Group [calc, β→1 konvergiert]</t>
  </si>
  <si>
    <t>Country Risk Premium</t>
  </si>
  <si>
    <t>Geo-Mix: USA 65,6 % × 0 % + Deutschland 22,0 % × 0 % + Europa ex-DE 12,0 % × ~4-5 % avg CRP (Griechenland ~1,4 %, Ungarn ~0,9 %, Polen ~0,5 %, CZ/SK/HR/AT ~0,4 %) → ~1,2 % × 12 % Gewicht = 0,14 pp; rundet auf 50 bps für OTE-Konzentration in Griechenland und Ungarn.</t>
  </si>
  <si>
    <t>Specific Risk Premium</t>
  </si>
  <si>
    <t>DT hält ~51,4 % an TMUS und ~48-51 % an OTE (börsennotiert), d.h. Konzern hat strukturelle Mehrheitsbeteiligung-Governance-Abhängigkeit. Minderheitsaktionäre tragen dauerhaftes Governance-Risiko: DT als ~51%-Aktionär bei TMUS kontrolliert Board-Zusammensetzung, Strategie, Kapitalallokation. 30 bps strukturelles Governance-SRP gerechtfertigt.</t>
  </si>
  <si>
    <t>Cost of Equity Group [calc, ≥ Kd + Nachrang-Spread]</t>
  </si>
  <si>
    <t>Cost of Debt pre-tax (Kd)</t>
  </si>
  <si>
    <t>Zinsergebnis (netto) 2025: -€5,9 Mrd. Schätzung Brutto-Zinsaufwand: ~€6,4 Mrd. (Netto + ~€0,5 Mrd. Zinserträge auf Cash/Finanzanlagen). Gross Financial Debt inkl. Leases: €146,7 Mrd. Impliziter Satz: 6.400/146.723 = 4,4 %. DT-Rating BBB+/A3 → Investment-Grade Spread ~80-100 bps auf Bund (2,4 %) = 3,2-3,4 % marginal; Bestandsschulden höher bepreist (2021-2022 Emissionen). Kd 4,4 % = gezahlter Durchschnittssatz; Laufzeit-Mix schützt vor schnellem Zinsanstieg.</t>
  </si>
  <si>
    <t>Cost of Debt after-tax [calc]</t>
  </si>
  <si>
    <t>Equity Weight E/(D+E) [calc]</t>
  </si>
  <si>
    <t>Debt Weight D/(D+E) [calc]</t>
  </si>
  <si>
    <t>WACC Group [calc, =MAX(CAPM, Floor)]</t>
  </si>
  <si>
    <t>── Sensitivity-Shocks (Phase 2.5) ──</t>
  </si>
  <si>
    <t>Margin Shock (pp)</t>
  </si>
  <si>
    <t>Growth Shock (pp)</t>
  </si>
  <si>
    <t>WACC Floor (Group, Sektor-Anker)</t>
  </si>
  <si>
    <t>rf(Whg) + β_low(Sektor)×ERP — Writer (data/wacc_floors)</t>
  </si>
  <si>
    <t>Terminal Debt Weight D/(D+E) (firmeneigen, gehalten)</t>
  </si>
  <si>
    <t>Stable-Phase haelt die aktuelle Kapitalstruktur — Writer (terminal_debt_weight_for: current D/E oder Lock-Override)</t>
  </si>
  <si>
    <t>Terminal Kd pre-tax (Rf + base + slope×wD)</t>
  </si>
  <si>
    <t>Credit-Curve: Spread steigt mit Leverage (Anti-Free-Lunch)</t>
  </si>
  <si>
    <t>Terminal Kd after-tax [calc]</t>
  </si>
  <si>
    <t>Groessenpraemie (Marktkap-Band)</t>
  </si>
  <si>
    <t>Marktkap 130,675 Mio EUR (DTE.DE) → Large/Mega Cap (&gt; 10 Mrd): +0.00 pp auf Ke</t>
  </si>
  <si>
    <t>SOTP DCF [Base] — Segment-Level Forecast + Group-Aggregation</t>
  </si>
  <si>
    <t>Yellow = Inputs. Orange = Reasoning (Writer befüllt nach Review-Call). Blue = computed. Green = output.</t>
  </si>
  <si>
    <t>Deutschland</t>
  </si>
  <si>
    <t>USA (T-Mobile US)</t>
  </si>
  <si>
    <t>Europa</t>
  </si>
  <si>
    <t>Systemgeschäft</t>
  </si>
  <si>
    <t>Segment 5</t>
  </si>
  <si>
    <t>Segment 6</t>
  </si>
  <si>
    <t>Segment 7</t>
  </si>
  <si>
    <t>Segment 8</t>
  </si>
  <si>
    <t>GROUP</t>
  </si>
  <si>
    <t>Segment name</t>
  </si>
  <si>
    <t>USA (T-Mobile US) → TOCHTER-IMPORT</t>
  </si>
  <si>
    <t>Y0 Revenue (Mio.)</t>
  </si>
  <si>
    <t>Revenue CAGR (5J)</t>
  </si>
  <si>
    <t>EBIT Margin Y1</t>
  </si>
  <si>
    <t>EBIT Margin Y1 (berichtet, IST)</t>
  </si>
  <si>
    <t>EBIT Margin Y5 (optional)</t>
  </si>
  <si>
    <t>Brutto-Capex / Revenue (Audit)</t>
  </si>
  <si>
    <t>D&amp;A / Revenue (Audit)</t>
  </si>
  <si>
    <t>Net Capex / Revenue (direkt, Y1)</t>
  </si>
  <si>
    <t>Terminal Growth</t>
  </si>
  <si>
    <t>Unlevered β (Damodaran, Segment)</t>
  </si>
  <si>
    <t>WACC-Floor (Sektor, Damodaran-Anker)</t>
  </si>
  <si>
    <t>Segment WACC [calc, =MAX(CAPM, Floor)]</t>
  </si>
  <si>
    <t>Segment CRP Override (leer = Group-CRP)</t>
  </si>
  <si>
    <t>Growth-Reasoning (Review-Call-Audit)</t>
  </si>
  <si>
    <t>Demonstrated 3J-Revenue-CAGR (2023-2025) ca. +0,9 % p.a. (25.187→25.610). Management guidet 2026 und 2027 'leichter Anstieg' Umsatz und Service-Umsatz; EBITDA AL 2026 Guidance €11,0 Mrd. (vs. €10,7 Mrd. = +2,8 %). Strukturelles Wachstum durch Glasfaser-Monetarisierung (FTTH-Kunden wachsen), 5G-ARPU-Uplift, TV-Wachstum (+109 Tsd. Kunden). Gegenwind: Voice-Erosion, wettbewerbsintensiver Breitband-Markt (Kabel + Glasfaser-Newcomer). Modelliert 2,5 % CAGR (leicht über demonstrierter CAGR) angesic...</t>
  </si>
  <si>
    <t>BEWERTET AUS TOCHTER-SOTP: T-Mobile US (2026-07-27_run1) — Annahmen + Herleitung im Block Zeile 124 ff. Diese DCF-Spalte ist BEWUSST leer (EV 0), damit kein verworfener Mutter-DCF im Audit-Trail steht.</t>
  </si>
  <si>
    <t>Demonstrated 3J-Revenue-CAGR 2023-2025: 11.790→12.652 = +3,6 % p.a. Organisch +2,9 % in 2025 (bereinigt Rumänien-Abgang). DT-Guidance 2026 und 2027: 'leichter Anstieg' Umsatz und Service-Umsatz. EBITDA AL 2026 Guidance €4,8 Mrd. (+2,1 %). Strukturelle Treiber: FMC-Kundenwachstum, Glasfaser-Upselling, IT-Dienstleistungen für Geschäftskunden. Moderate FX-Belastung (HUF, PLN, CZK). Wegfall Ungarn-Sondersteuer ab 1.1.2025 ist Einmal-Positiv (in Y1 enthalten). CAGR 3,0 % modelliert (leicht unter d...</t>
  </si>
  <si>
    <t>Demonstrated 3J-Revenue-CAGR 2023-2025: 3.896→4.103 = +2,6 % p.a. Guidance 2026 und 2027: 'Anstieg' Umsatz (ohne quantitative Spezifikation); EBITDA AL 2026: ~€0,4 Mrd. (stabil auf bereinigtem Niveau). Auftragseingang 2025 €4,2 Mrd. (+4,2 %), Backlog-Wachstum stützt leichtes Wachstum. Digital und Road Charging als Wachstumssegmente identifiziert. Rückbau klassisches Infrastrukturgeschäft bremst. CAGR 3,0 % modelliert (leicht über demonstrierter CAGR, gestützt durch Auftragseingang-Wachstum)....</t>
  </si>
  <si>
    <t>Margin-Reasoning (Review-Call-Audit)</t>
  </si>
  <si>
    <t>Y1 25,0 % = IFRS-EBIT-Marge wie gedruckt (EBIT €6.401m / Revenue €25.610m). EBITA-Prüfung: D&amp;A 17,5 % vs. Cash Capex 19,0 % → net_capex positiv +1,5 %; keine dominante M&amp;A-Amortisation (kein Groß-Akquisitions-Goodwill Deutschland-spezifisch), EBIT-Basis korrekt. SBC ist in DTs IFRS-Marge enthalten. Y5 26,0 %: Management-Guidance impliziert EBITDA-AL-Margenverbesserung durch Digitalisierungs- und Automatisierungsmaßnahmen (Kosteneinsparungen explizit genannt für 2026 und 2027); Operating-Lever...</t>
  </si>
  <si>
    <t>Y1 19,7 % = IFRS-EBIT-Marge wie gedruckt (EBIT €2.489m / Revenue €12.652m, EBIT-Marge-Tabelle S.91). Keine dominante M&amp;A-Amortisation die über 3 pp Delta D&amp;A vs. Capex hinausgeht (D&amp;A 20,6 %, Capex vor Spektrum 16,0 %; Delta 4,6 pp erklärbar durch IFRS-16-Nutzungsrechts-Amortisation die vollumfänglich in D&amp;A aber nicht in Capex). EBIT-Basis korrekt ohne weiteren EBITA-Add-back. SBC in Europa-Segment minimal. Y5 21,0 %: Positive Margen-Trajektorie demonstriert (2023: 16,7 %, 2024: 18,2 %, 2025...</t>
  </si>
  <si>
    <t>Y1 2,2 % = IFRS-EBIT-Marge wie gedruckt (EBIT €92m / Revenue €4.103m). Segment im Sanierungspfad: 2023 negativ (-1,8 %), 2024 positiv (2,7 %), 2025 leicht rückläufig (2,2 %) aufgrund höherer Abschreibungen. Sondereinflüsse 2025: -€175m Personalrestrukturierung (wiederkehrend: auch 2024 -€118m, 2023 -€144m → recurring_restructuring embedded, kein Add-back). Y1 2,2 % ist die Run-Rate inkl. der wiederkehrenden Restrukturierung, da Transformationsprogramm noch läuft. Y5 5,5 %: DT-Guidance kommuni...</t>
  </si>
  <si>
    <t>Multiple-Gate (implied vs Sektor-Ceiling)</t>
  </si>
  <si>
    <t>ok: EV/EBITDA 8.3x &lt;= 1.1x x Median 8.4x (telecom)</t>
  </si>
  <si>
    <t>ok: EV/EBITDA 7.9x &lt;= 1.1x x Median 8.4x (telecom)</t>
  </si>
  <si>
    <t>ok: EV/EBITDA 9.3x &lt;= 1.1x x Median 22.8x (tech_software)</t>
  </si>
  <si>
    <t>Y1 Revenue</t>
  </si>
  <si>
    <t>Y2 Revenue</t>
  </si>
  <si>
    <t>Y3 Revenue</t>
  </si>
  <si>
    <t>Y4 Revenue</t>
  </si>
  <si>
    <t>Y5 Revenue</t>
  </si>
  <si>
    <t>Net Capex / Revenue Y5 (optional, Forward-Struktur)</t>
  </si>
  <si>
    <t>Y1 EBIT Margin</t>
  </si>
  <si>
    <t>Y2 EBIT Margin</t>
  </si>
  <si>
    <t>Y3 EBIT Margin</t>
  </si>
  <si>
    <t>Y4 EBIT Margin</t>
  </si>
  <si>
    <t>Y5 EBIT Margin</t>
  </si>
  <si>
    <t>Y1 EBIT</t>
  </si>
  <si>
    <t>Y2 EBIT</t>
  </si>
  <si>
    <t>Y3 EBIT</t>
  </si>
  <si>
    <t>Y4 EBIT</t>
  </si>
  <si>
    <t>Y5 EBIT</t>
  </si>
  <si>
    <t>Y1 NOPAT (after-tax)</t>
  </si>
  <si>
    <t>Y2 NOPAT</t>
  </si>
  <si>
    <t>Y3 NOPAT</t>
  </si>
  <si>
    <t>Y4 NOPAT</t>
  </si>
  <si>
    <t>Y5 NOPAT</t>
  </si>
  <si>
    <t>Y1 Net Capex</t>
  </si>
  <si>
    <t>Y2 Net Capex</t>
  </si>
  <si>
    <t>Y3 Net Capex</t>
  </si>
  <si>
    <t>Y4 Net Capex</t>
  </si>
  <si>
    <t>Y5 Net Capex</t>
  </si>
  <si>
    <t>Y1 FCF</t>
  </si>
  <si>
    <t>Y2 FCF</t>
  </si>
  <si>
    <t>Y3 FCF</t>
  </si>
  <si>
    <t>Y4 FCF</t>
  </si>
  <si>
    <t>Y5 FCF</t>
  </si>
  <si>
    <t>PV(FCF Y1)</t>
  </si>
  <si>
    <t>PV(FCF Y2)</t>
  </si>
  <si>
    <t>PV(FCF Y3)</t>
  </si>
  <si>
    <t>PV(FCF Y4)</t>
  </si>
  <si>
    <t>PV(FCF Y5)</t>
  </si>
  <si>
    <t>── Stage-2 Fade Period (Year 6-10) ──</t>
  </si>
  <si>
    <t>Y6 Revenue (Fade)</t>
  </si>
  <si>
    <t>Y7 Revenue (Fade)</t>
  </si>
  <si>
    <t>Y8 Revenue (Fade)</t>
  </si>
  <si>
    <t>Y9 Revenue (Fade)</t>
  </si>
  <si>
    <t>Y10 Revenue (Fade)</t>
  </si>
  <si>
    <t>Y6 EBIT Margin (flat Y5)</t>
  </si>
  <si>
    <t>Y7 EBIT Margin (flat Y5)</t>
  </si>
  <si>
    <t>Y8 EBIT Margin (flat Y5)</t>
  </si>
  <si>
    <t>Y9 EBIT Margin (flat Y5)</t>
  </si>
  <si>
    <t>Y10 EBIT Margin (flat Y5)</t>
  </si>
  <si>
    <t>Y6 EBIT</t>
  </si>
  <si>
    <t>Y7 EBIT</t>
  </si>
  <si>
    <t>Y8 EBIT</t>
  </si>
  <si>
    <t>Y9 EBIT</t>
  </si>
  <si>
    <t>Y10 EBIT</t>
  </si>
  <si>
    <t>Y6 NOPAT</t>
  </si>
  <si>
    <t>Y7 NOPAT</t>
  </si>
  <si>
    <t>Y8 NOPAT</t>
  </si>
  <si>
    <t>Y9 NOPAT</t>
  </si>
  <si>
    <t>Y10 NOPAT</t>
  </si>
  <si>
    <t>Y6 Net Capex</t>
  </si>
  <si>
    <t>Y7 Net Capex</t>
  </si>
  <si>
    <t>Y8 Net Capex</t>
  </si>
  <si>
    <t>Y9 Net Capex</t>
  </si>
  <si>
    <t>Y10 Net Capex</t>
  </si>
  <si>
    <t>Y6 FCF</t>
  </si>
  <si>
    <t>Y7 FCF</t>
  </si>
  <si>
    <t>Y8 FCF</t>
  </si>
  <si>
    <t>Y9 FCF</t>
  </si>
  <si>
    <t>Y10 FCF</t>
  </si>
  <si>
    <t>PV(FCF Y6)</t>
  </si>
  <si>
    <t>PV(FCF Y7)</t>
  </si>
  <si>
    <t>PV(FCF Y8)</t>
  </si>
  <si>
    <t>PV(FCF Y9)</t>
  </si>
  <si>
    <t>PV(FCF Y10)</t>
  </si>
  <si>
    <t>Terminal WACC [calc, β→1 für Fade+Gordon]</t>
  </si>
  <si>
    <t>Σ PV(FCF Y1-Y10)</t>
  </si>
  <si>
    <t>Terminal Value (Gordon, FCF Y10)</t>
  </si>
  <si>
    <t>PV(Terminal Value)</t>
  </si>
  <si>
    <t>Segment EV</t>
  </si>
  <si>
    <t>EV-weighted WACC (avg)</t>
  </si>
  <si>
    <t>− Net Debt (ex Töchter, ex CF-Funding)</t>
  </si>
  <si>
    <t>− Minority Interest (adj.)</t>
  </si>
  <si>
    <t>± Corp. Overhead (kap.)</t>
  </si>
  <si>
    <t>± Töchter (Σ Mutter-Anteile, Block Z.124 ff.)</t>
  </si>
  <si>
    <t>+ Captive Finance (P/B × Equity-BW)</t>
  </si>
  <si>
    <t>± Binary Adj (Netto)</t>
  </si>
  <si>
    <t>± Multiple-Gate Adj (Sektor-Ceiling)</t>
  </si>
  <si>
    <t>− Operating-Cash-Floor (nicht ausschüttbar)</t>
  </si>
  <si>
    <t>Σ Equity Value</t>
  </si>
  <si>
    <t>÷ Shares Outstanding</t>
  </si>
  <si>
    <t>Price Target (per Share)</t>
  </si>
  <si>
    <t>TOCHTER-BETEILIGUNGEN (importiert aus Tochter-SOTP)</t>
  </si>
  <si>
    <t>Tochter / Ticker</t>
  </si>
  <si>
    <t>T-Mobile US (TMUS)</t>
  </si>
  <si>
    <t>Quell-Run (Tochter-SOTP)</t>
  </si>
  <si>
    <t>2026-07-27_run1</t>
  </si>
  <si>
    <t>Währung Tochter</t>
  </si>
  <si>
    <t>USD</t>
  </si>
  <si>
    <t>FX (Konzern je Tochter-Whg.)</t>
  </si>
  <si>
    <t>EV Tochter (SOTP, Base)</t>
  </si>
  <si>
    <t>− Netto-Schulden Tochter</t>
  </si>
  <si>
    <t>Eigenkapitalwert Tochter (EV − Netto-Schulden)</t>
  </si>
  <si>
    <t>× Anteil Mutter</t>
  </si>
  <si>
    <t>Mutter-Anteil, Tochter-Whg. (EK × Anteil)</t>
  </si>
  <si>
    <t>Mutter-Anteil EUR (× FX × (1+Case-FX)) → Bridge-Zeile ± Töchter</t>
  </si>
  <si>
    <t>Netto-Schuld Tochter (EUR, Spot) → Net-Debt-Zeile</t>
  </si>
  <si>
    <t>── Annahmen des Tochter-Runs (nachrichtlich) ──</t>
  </si>
  <si>
    <t>Revenue-CAGR (Base, umsatzgew.)</t>
  </si>
  <si>
    <t>7.0%</t>
  </si>
  <si>
    <t>EBIT-Marge Y1 → Y5 (Base, umsatzgew.)</t>
  </si>
  <si>
    <t>21.0% → 23.5%</t>
  </si>
  <si>
    <t>Terminal Growth (Base, umsatzgew.)</t>
  </si>
  <si>
    <t>3.0%</t>
  </si>
  <si>
    <t>WACC Tochter-Run</t>
  </si>
  <si>
    <t>8.0%</t>
  </si>
  <si>
    <t>PT Tochter (Base) × Aktien = EK oben</t>
  </si>
  <si>
    <t>201.78 × 1,106.9M Aktien = 223,350m USD</t>
  </si>
  <si>
    <t>FX-Sensitivität: ±10 % Wechselkurs = ± je Aktie</t>
  </si>
  <si>
    <t>FX-Bewegung im Case (Base; − = Tochter-Whg. wertet ab)</t>
  </si>
  <si>
    <t>SOTP DCF [Bull] — Segment-Level Forecast + Group-Aggregation</t>
  </si>
  <si>
    <t>EV Tochter (SOTP, Bull)</t>
  </si>
  <si>
    <t>PT Tochter (Bull) × Aktien = EK oben</t>
  </si>
  <si>
    <t>288.30 × 1,106.9M Aktien = 319,119m USD</t>
  </si>
  <si>
    <t>FX-Bewegung im Case (Bull; − = Tochter-Whg. wertet ab)</t>
  </si>
  <si>
    <t>SOTP DCF [Bear] — Segment-Level Forecast + Group-Aggregation</t>
  </si>
  <si>
    <t>EV Tochter (SOTP, Bear)</t>
  </si>
  <si>
    <t>PT Tochter (Bear) × Aktien = EK oben</t>
  </si>
  <si>
    <t>129.81 × 1,106.9M Aktien = 143,687m USD</t>
  </si>
  <si>
    <t>FX-Bewegung im Case (Bear; − = Tochter-Whg. wertet ab)</t>
  </si>
  <si>
    <t>SOTP — Binary Adjustments (Post-DCF)</t>
  </si>
  <si>
    <t>Einmal-Ereignisse: Litigation, M&amp;A, Restrukturierungen. Litigation IMMER negativ (Litigation-Sign-Lock). Netto = EV-Impact × Probability.</t>
  </si>
  <si>
    <t>Writer befüllt aus analysis.binary_adjustments.</t>
  </si>
  <si>
    <t>Name</t>
  </si>
  <si>
    <t>EV-Impact (Mio.)</t>
  </si>
  <si>
    <t>Probability</t>
  </si>
  <si>
    <t>Netto-EV (Mio.)</t>
  </si>
  <si>
    <t>Beschreibung / Evidenz</t>
  </si>
  <si>
    <t>VDG-Klage (Vodafone Deutschland Gesellschaft) Entgeltstreit</t>
  </si>
  <si>
    <t>VDG beziffert Klageanträge auf ca. €980 Mio. + Zinsen Jan 2012–Dez 2024. Vodafone West: ca. €538 Mio. + Zinsen. BGH-Rückverweisung an OLGs, Urteilstermin offen. Finanzielle Auswirkungen laut Bericht nicht verlässlich schätzbar. Exposure-Mittelwert ~€700m × 35 % Eintrittswahrscheinlichkeit = -€245m.</t>
  </si>
  <si>
    <t>T-Mobile US Sammelklage Sprint-Zusammenschluss (Delaware Court of Chancery)</t>
  </si>
  <si>
    <t>Shareholder Class Action + Derivative Action wegen Treuepflicht-Verletzung bei Sprint-Fusion. Klageforderung nicht verlässlich schätzbar. Grobe Schätzung auf Basis historischer Vergleiche ähnlicher Aktionärsklagen: $1-2 Mrd. Exposure × 20 % = ~€150m EV.</t>
  </si>
  <si>
    <t>T-Mobile US Cyberangriff Januar 2023 – behördliche und Verbraucher-Klagen</t>
  </si>
  <si>
    <t>37 Mio. betroffene Kundenkonten. Verbrauchersammelklagen und behördliche Anfragen laufen. Analog zum August-2021-Angriff (Einigung FCC 2024 + Versicherungserstattungen $Q1 2025) könnte Gesamtexposure bei $100-200 Mio. liegen. EV: $130m × 60 % × Anteil DT (~51 %) ≈ €37m; gerundet €80m als konservatives Level.</t>
  </si>
  <si>
    <t>Netto gesamt (Mio.)</t>
  </si>
  <si>
    <t>Netto pro Aktie</t>
  </si>
  <si>
    <t>SOTP — Bull/Base/Bear-Szenarien</t>
  </si>
  <si>
    <t>Pro Case ein eigenständiges DCF-Sheet (DCF Bull/Base/Bear). Die Group-PTs unten referenzieren diese Sheets LIVE — jeder Case ist segment-genau nachrechenbar.</t>
  </si>
  <si>
    <t>── Segment-Annahmen (pro Case) ──</t>
  </si>
  <si>
    <t>Segment</t>
  </si>
  <si>
    <t>CAGR Bull</t>
  </si>
  <si>
    <t>CAGR Base</t>
  </si>
  <si>
    <t>CAGR Bear</t>
  </si>
  <si>
    <t>Marge Y1 Bull</t>
  </si>
  <si>
    <t>Marge Y1 Base</t>
  </si>
  <si>
    <t>Marge Y1 Bear</t>
  </si>
  <si>
    <t>TG Bull</t>
  </si>
  <si>
    <t>TG Base</t>
  </si>
  <si>
    <t>TG Bear</t>
  </si>
  <si>
    <t>β_lev</t>
  </si>
  <si>
    <t>Δ Marge (pp)</t>
  </si>
  <si>
    <t>USA (T-Mobile US) → TOCHTER-IMPORT (Cases aus Tochter-SOTP, s. DCF-Sheets Zeile 124)</t>
  </si>
  <si>
    <t>── Group Kursziele (live aus DCF-Sheets) ──</t>
  </si>
  <si>
    <t>Szenario</t>
  </si>
  <si>
    <t>PT roh (€/Aktie)</t>
  </si>
  <si>
    <t>Wahrscheinlichkeit</t>
  </si>
  <si>
    <t>Quelle</t>
  </si>
  <si>
    <t>PT nach Floor (≥0)</t>
  </si>
  <si>
    <t>Bull</t>
  </si>
  <si>
    <t>'DCF Bull'!K122</t>
  </si>
  <si>
    <t>Base</t>
  </si>
  <si>
    <t>'DCF Base'!K122</t>
  </si>
  <si>
    <t>Bear</t>
  </si>
  <si>
    <t>'DCF Bear'!K122</t>
  </si>
  <si>
    <t>#0a: Cases fließen ROH in die Gewichtung (Spalte B — ein negativer Bear trägt sein Downside); Floor (≥0) nur auf dem Aggregat. Spalte E = Anzeige je realisiertem Case.</t>
  </si>
  <si>
    <t>Gewichtetes Kursziel (Headline)</t>
  </si>
  <si>
    <t>Rohwert (vor 0-Floor):</t>
  </si>
  <si>
    <t>Sentiment (Wahrscheinlichkeits-Quelle)</t>
  </si>
  <si>
    <t>positive</t>
  </si>
  <si>
    <t>Markt-implizit — Was muss passieren, damit der Kurs fair value ist?</t>
  </si>
  <si>
    <t>REIN ERKLÄREND, keine Bewertung. Kalibrierter Group-DCF: Base = Headline-PT (exakt), jede Hebel-Spalte = Marktpreis (exakt). Vereinfachte Group-Sicht; volle Segment-Granularität in den DCF-Sheets.</t>
  </si>
  <si>
    <t>Aktueller Kurs (Markt)</t>
  </si>
  <si>
    <t>Intrinsisch (Headline-PT)</t>
  </si>
  <si>
    <t>Divergenz (intrinsisch vs Markt)</t>
  </si>
  <si>
    <t>Trigger (|Divergenz| &gt; 25% ⇒ Analyse)</t>
  </si>
  <si>
    <t>JA — Analyse aktiv</t>
  </si>
  <si>
    <t>Impl. CAGR</t>
  </si>
  <si>
    <t>Impl. Marge</t>
  </si>
  <si>
    <t>Impl. WACC</t>
  </si>
  <si>
    <t>Group-Revenue Y0 (Mio.)</t>
  </si>
  <si>
    <t>Revenue-CAGR</t>
  </si>
  <si>
    <t>EBIT-Marge Y1</t>
  </si>
  <si>
    <t>Terminal-Marge (Y5)</t>
  </si>
  <si>
    <t>Net-Capex / Revenue</t>
  </si>
  <si>
    <t>WACC (Diskontierung)</t>
  </si>
  <si>
    <t>Steuersatz</t>
  </si>
  <si>
    <t>+ Aggregations-Bridge (Mio.)</t>
  </si>
  <si>
    <t>+ Bilanz/Overhead/CF/Binary/Szen. (Mio.)</t>
  </si>
  <si>
    <t>Aktien (Mio.)</t>
  </si>
  <si>
    <t>Revenue Y1</t>
  </si>
  <si>
    <t>Revenue Y2</t>
  </si>
  <si>
    <t>Revenue Y3</t>
  </si>
  <si>
    <t>Revenue Y4</t>
  </si>
  <si>
    <t>Revenue Y5</t>
  </si>
  <si>
    <t>Revenue Y6</t>
  </si>
  <si>
    <t>Revenue Y7</t>
  </si>
  <si>
    <t>Revenue Y8</t>
  </si>
  <si>
    <t>Revenue Y9</t>
  </si>
  <si>
    <t>Revenue Y10</t>
  </si>
  <si>
    <t>FCF Y1</t>
  </si>
  <si>
    <t>FCF Y2</t>
  </si>
  <si>
    <t>FCF Y3</t>
  </si>
  <si>
    <t>FCF Y4</t>
  </si>
  <si>
    <t>FCF Y5</t>
  </si>
  <si>
    <t>FCF Y6</t>
  </si>
  <si>
    <t>FCF Y7</t>
  </si>
  <si>
    <t>FCF Y8</t>
  </si>
  <si>
    <t>FCF Y9</t>
  </si>
  <si>
    <t>FCF Y10</t>
  </si>
  <si>
    <t>Group-DCF-EV</t>
  </si>
  <si>
    <t>Equity (EV + Bridges)</t>
  </si>
  <si>
    <t>Kursziel / Aktie</t>
  </si>
  <si>
    <t>PT − Ziel (Base=Headline, Hebel=Markt ⇒ ≈0)</t>
  </si>
  <si>
    <t>── Handels-Multiples (Yahoo Finance) — Kontext, KEINE Bewertung ──</t>
  </si>
  <si>
    <t>EV/Sales (primär — SBC-agnostisch)</t>
  </si>
  <si>
    <t>EV/EBITDA (nachrichtl., SBC-verzerrt)</t>
  </si>
  <si>
    <t>KGV trailing (nachrichtl., SBC-verzerrt)</t>
  </si>
  <si>
    <t>KGV forward</t>
  </si>
  <si>
    <t>Kurs/Buchwert</t>
  </si>
  <si>
    <t>EV/Sales-Historie (~5J, indikativ; split-bereinigt)</t>
  </si>
  <si>
    <t>Jahr</t>
  </si>
  <si>
    <t>EV/Sales</t>
  </si>
  <si>
    <t>── EV/EBITDA: Markt heute vs unser Kursziel vs 5J-Eigenhistorie — deskriptiv, KEIN Kursziel ──</t>
  </si>
  <si>
    <t>EV am Marktpreis (Group, Mio.)</t>
  </si>
  <si>
    <t>EV an unserem Kursziel (Group, Mio.)</t>
  </si>
  <si>
    <t>Group-EBITDA trailing (Mio.)</t>
  </si>
  <si>
    <t>Group-EBITDA t+1 (unsere Y1-Schätzung, Mio.)</t>
  </si>
  <si>
    <t>EV/EBITDA — Markt heute (trailing)</t>
  </si>
  <si>
    <t>EV/EBITDA — unser Kursziel (trailing)</t>
  </si>
  <si>
    <t>EV/EBITDA — Markt heute (t+1)</t>
  </si>
  <si>
    <t>EV/EBITDA — unser Kursziel (t+1)</t>
  </si>
  <si>
    <t>Eigene 5J-EV/EBITDA-Spanne (indikativ) — Anker für die Einordnung</t>
  </si>
  <si>
    <t>5J Minimum</t>
  </si>
  <si>
    <t>5J Median</t>
  </si>
  <si>
    <t>5J Maximum</t>
  </si>
  <si>
    <t>Markt vs unsere Annahmen</t>
  </si>
  <si>
    <t>Markt diskontiert ggü. unseren Annahmen</t>
  </si>
  <si>
    <t>Einordnung</t>
  </si>
  <si>
    <t>Der Markt zahlt heute rund 7.2x EV/EBITDA (trailing). Unser Kursziel entspricht rund 8.5x auf dem heutigen EBITDA (gleiche Basis, direkt mit der eigenen Historie vergleichbar). Das Markt-Niveau liegt im oberen Bereich der eigenen 5J-Spanne (5.3x bis 5.6x). Der Markt diskontiert rund 18% gegenüber unseren Annahmen (er ist pessimistischer als unser Modell). Achtung: das trailing Multiple ist durch ein gedrücktes EBITDA-Jahr (Trog) rechnerisch überhöht, nicht durch einen Bewertungsaufschlag. Auf unserer Ergebnisschätzung für das kommende Jahr (t+1) entspricht das Kursziel rund 6.7x, der Markt 5.6x (anderer Nenner, nicht mit der Historie vergleichbar). Die Peer-Gruppe handelt bei 7.3–11.7x (Median 7.8x, trailing).</t>
  </si>
  <si>
    <t>── Peer-Gruppe: β-Herleitung (3J-Regression, Blume, unlevered) + Multiples-Band — deskriptiv ──</t>
  </si>
  <si>
    <t>β unlevered — Peer-Median (im WACC verwendet)</t>
  </si>
  <si>
    <t>Peer EV/EBITDA min / median / max (trailing)</t>
  </si>
  <si>
    <t>Peer</t>
  </si>
  <si>
    <t>β unlev</t>
  </si>
  <si>
    <t>β lev</t>
  </si>
  <si>
    <t>D/E (Markt)</t>
  </si>
  <si>
    <t>EV/EBITDA</t>
  </si>
  <si>
    <t>VZ</t>
  </si>
  <si>
    <t>T</t>
  </si>
  <si>
    <t>ORA.PA</t>
  </si>
  <si>
    <t>VOD.L</t>
  </si>
  <si>
    <t>SCMN.SW</t>
  </si>
  <si>
    <t>Named-Range Targets (für sotp_valuation.py)</t>
  </si>
  <si>
    <t>Diese Sheet ist nur ein Index — die echten Werte stehen in Inputs/DCF.</t>
  </si>
  <si>
    <t>OUT_WACC (EV-weighted avg)</t>
  </si>
  <si>
    <t>'DCF Base'!K110</t>
  </si>
  <si>
    <t>OUT_NET_DEBT</t>
  </si>
  <si>
    <t>Inputs!B14</t>
  </si>
  <si>
    <t>OUT_MINORITY</t>
  </si>
  <si>
    <t>Inputs!B15</t>
  </si>
  <si>
    <t>OUT_SHARES</t>
  </si>
  <si>
    <t>Inputs!B11</t>
  </si>
  <si>
    <t>OUT_GROUP_EV</t>
  </si>
  <si>
    <t>'DCF Base'!K109</t>
  </si>
  <si>
    <t>OUT_EQUITY</t>
  </si>
  <si>
    <t>'DCF Base'!K119</t>
  </si>
  <si>
    <t>OUT_PRICE_TARGET</t>
  </si>
  <si>
    <t>OUT_SEG_EV_i</t>
  </si>
  <si>
    <t>'DCF Base'!C..J109 (i=1..8)</t>
  </si>
  <si>
    <t>OUT_SEG_WACC_i</t>
  </si>
  <si>
    <t>'DCF Base'!C..J16 (i=1..8)</t>
  </si>
  <si>
    <t>— Szenario-PTs —</t>
  </si>
  <si>
    <t>(Szenarien-Sheet, live ref auf je DCF-Sheet)</t>
  </si>
  <si>
    <t>DCF Bull → PT</t>
  </si>
  <si>
    <t>DCF Base → PT</t>
  </si>
  <si>
    <t>DCF Bear → 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</si>
</sst>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&quot;x&quot;"/>
    <numFmt numFmtId="166" formatCode="0.00&quot;x&quot;"/>
    <numFmt numFmtId="167" formatCode="0.0"/>
  </numFmts>
  <fonts count="11" x14ac:knownFonts="1">
    <font>
      <sz val="11"/>
      <color theme="1"/>
      <name val="Calibri"/>
      <family val="2"/>
      <scheme val="minor"/>
    </font>
    <font>
      <b/>
      <sz val="14"/>
      <name val="Calibri"/>
    </font>
    <font>
      <i/>
      <sz val="11"/>
      <color rgb="FF666666"/>
      <name val="Calibri"/>
    </font>
    <font>
      <b/>
      <sz val="11"/>
      <name val="Calibri"/>
    </font>
    <font>
      <i/>
      <sz val="11"/>
      <color rgb="FF886600"/>
      <name val="Calibri"/>
    </font>
    <font>
      <i/>
      <sz val="11"/>
      <color rgb="FFCC5500"/>
      <name val="Calibri"/>
    </font>
    <font>
      <i/>
      <sz val="9"/>
      <name val="Calibri"/>
    </font>
    <font>
      <b/>
      <sz val="12"/>
      <color rgb="FF0B5C2E"/>
      <name val="Calibri"/>
    </font>
    <font>
      <b/>
      <sz val="13"/>
      <name val="Calibri"/>
    </font>
    <font>
      <b/>
      <sz val="12"/>
      <name val="Calibri"/>
    </font>
    <font>
      <b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rgb="FFFFF2A0"/>
      </patternFill>
    </fill>
    <fill>
      <patternFill patternType="solid">
        <fgColor rgb="FFDCE6F2"/>
      </patternFill>
    </fill>
    <fill>
      <patternFill patternType="solid">
        <fgColor rgb="FFC8E6C9"/>
      </patternFill>
    </fill>
    <fill>
      <patternFill patternType="solid">
        <fgColor rgb="FFFFE0B2"/>
      </patternFill>
    </fill>
    <fill>
      <patternFill patternType="solid">
        <fgColor rgb="FFFFF2A0"/>
      </patternFill>
    </fill>
    <fill>
      <patternFill patternType="solid">
        <fgColor rgb="FFDCE6F2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0" borderId="0" xfId="0" applyFont="1"/>
    <xf numFmtId="4" fontId="0" fillId="3" borderId="1" xfId="0" applyNumberFormat="1" applyFill="1" applyBorder="1"/>
    <xf numFmtId="4" fontId="0" fillId="4" borderId="1" xfId="0" applyNumberFormat="1" applyFill="1" applyBorder="1"/>
    <xf numFmtId="10" fontId="0" fillId="3" borderId="1" xfId="0" applyNumberFormat="1" applyFill="1" applyBorder="1"/>
    <xf numFmtId="0" fontId="2" fillId="2" borderId="0" xfId="0" applyFont="1" applyFill="1"/>
    <xf numFmtId="2" fontId="0" fillId="3" borderId="1" xfId="0" applyNumberFormat="1" applyFill="1" applyBorder="1"/>
    <xf numFmtId="2" fontId="0" fillId="4" borderId="1" xfId="0" applyNumberFormat="1" applyFill="1" applyBorder="1"/>
    <xf numFmtId="10" fontId="0" fillId="4" borderId="1" xfId="0" applyNumberFormat="1" applyFill="1" applyBorder="1"/>
    <xf numFmtId="10" fontId="3" fillId="5" borderId="1" xfId="0" applyNumberFormat="1" applyFont="1" applyFill="1" applyBorder="1"/>
    <xf numFmtId="0" fontId="3" fillId="2" borderId="0" xfId="0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10" fontId="0" fillId="2" borderId="1" xfId="0" applyNumberFormat="1" applyFill="1" applyBorder="1"/>
    <xf numFmtId="0" fontId="4" fillId="0" borderId="0" xfId="0" applyFont="1"/>
    <xf numFmtId="0" fontId="5" fillId="0" borderId="0" xfId="0" applyFont="1"/>
    <xf numFmtId="0" fontId="6" fillId="6" borderId="1" xfId="0" applyFont="1" applyFill="1" applyBorder="1" applyAlignment="1">
      <alignment horizontal="left" vertical="top" wrapText="1"/>
    </xf>
    <xf numFmtId="0" fontId="3" fillId="5" borderId="0" xfId="0" applyFont="1" applyFill="1"/>
    <xf numFmtId="4" fontId="3" fillId="5" borderId="1" xfId="0" applyNumberFormat="1" applyFont="1" applyFill="1" applyBorder="1"/>
    <xf numFmtId="4" fontId="7" fillId="5" borderId="1" xfId="0" applyNumberFormat="1" applyFont="1" applyFill="1" applyBorder="1"/>
    <xf numFmtId="0" fontId="3" fillId="2" borderId="1" xfId="0" applyFont="1" applyFill="1" applyBorder="1"/>
    <xf numFmtId="49" fontId="0" fillId="3" borderId="1" xfId="0" applyNumberFormat="1" applyFill="1" applyBorder="1"/>
    <xf numFmtId="49" fontId="0" fillId="3" borderId="1" xfId="0" applyNumberFormat="1" applyFill="1" applyBorder="1" applyAlignment="1">
      <alignment vertical="top" wrapText="1"/>
    </xf>
    <xf numFmtId="0" fontId="3" fillId="2" borderId="1" xfId="0" applyFont="1" applyFill="1" applyBorder="1" applyAlignment="1">
      <alignment horizontal="center" wrapText="1"/>
    </xf>
    <xf numFmtId="0" fontId="0" fillId="0" borderId="1" xfId="0" applyBorder="1"/>
    <xf numFmtId="0" fontId="2" fillId="0" borderId="1" xfId="0" applyFont="1" applyBorder="1"/>
    <xf numFmtId="0" fontId="8" fillId="0" borderId="0" xfId="0" applyFont="1"/>
    <xf numFmtId="164" fontId="0" fillId="4" borderId="1" xfId="0" applyNumberFormat="1" applyFill="1" applyBorder="1"/>
    <xf numFmtId="0" fontId="0" fillId="4" borderId="0" xfId="0" applyFill="1"/>
    <xf numFmtId="0" fontId="3" fillId="2" borderId="0" xfId="0" applyFont="1" applyFill="1"/>
    <xf numFmtId="4" fontId="0" fillId="5" borderId="1" xfId="0" applyNumberFormat="1" applyFill="1" applyBorder="1"/>
    <xf numFmtId="165" fontId="0" fillId="5" borderId="1" xfId="0" applyNumberFormat="1" applyFill="1" applyBorder="1"/>
    <xf numFmtId="0" fontId="9" fillId="0" borderId="0" xfId="0" applyFont="1"/>
    <xf numFmtId="0" fontId="6" fillId="6" borderId="1" xfId="0" applyFont="1" applyFill="1" applyBorder="1" applyAlignment="1">
      <alignment vertical="top" wrapText="1"/>
    </xf>
    <xf numFmtId="0" fontId="10" fillId="0" borderId="2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164" fontId="0" fillId="7" borderId="2" xfId="0" applyNumberFormat="1" applyFill="1" applyBorder="1" applyAlignment="1">
      <alignment horizontal="center"/>
    </xf>
    <xf numFmtId="0" fontId="0" fillId="8" borderId="2" xfId="0" applyFill="1" applyBorder="1"/>
    <xf numFmtId="4" fontId="0" fillId="3" borderId="2" xfId="0" applyNumberFormat="1" applyFill="1" applyBorder="1"/>
    <xf numFmtId="0" fontId="0" fillId="4" borderId="2" xfId="0" applyFill="1" applyBorder="1"/>
    <xf numFmtId="3" fontId="0" fillId="3" borderId="2" xfId="0" applyNumberFormat="1" applyFill="1" applyBorder="1"/>
    <xf numFmtId="10" fontId="0" fillId="3" borderId="2" xfId="0" applyNumberFormat="1" applyFill="1" applyBorder="1"/>
    <xf numFmtId="10" fontId="0" fillId="7" borderId="2" xfId="0" applyNumberFormat="1" applyFill="1" applyBorder="1"/>
    <xf numFmtId="166" fontId="0" fillId="4" borderId="2" xfId="0" applyNumberFormat="1" applyFill="1" applyBorder="1"/>
    <xf numFmtId="165" fontId="0" fillId="4" borderId="2" xfId="0" applyNumberFormat="1" applyFill="1" applyBorder="1"/>
    <xf numFmtId="167" fontId="0" fillId="4" borderId="2" xfId="0" applyNumberFormat="1" applyFill="1" applyBorder="1"/>
    <xf numFmtId="0" fontId="0" fillId="0" borderId="2" xfId="0" applyBorder="1"/>
    <xf numFmtId="166" fontId="0" fillId="0" borderId="2" xfId="0" applyNumberFormat="1" applyBorder="1"/>
    <xf numFmtId="3" fontId="0" fillId="4" borderId="2" xfId="0" applyNumberFormat="1" applyFill="1" applyBorder="1"/>
    <xf numFmtId="0" fontId="0" fillId="5" borderId="2" xfId="0" applyFill="1" applyBorder="1"/>
    <xf numFmtId="2" fontId="0" fillId="5" borderId="2" xfId="0" applyNumberFormat="1" applyFill="1" applyBorder="1"/>
    <xf numFmtId="2" fontId="0" fillId="0" borderId="2" xfId="0" applyNumberFormat="1" applyBorder="1"/>
    <xf numFmtId="165" fontId="0" fillId="0" borderId="2" xfId="0" applyNumberFormat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workbookViewId="0"/>
  </sheetViews>
  <sheetFormatPr baseColWidth="10" defaultColWidth="9.23046875" defaultRowHeight="14.6" x14ac:dyDescent="0.4"/>
  <cols>
    <col min="1" max="1" width="32" customWidth="1"/>
    <col min="2" max="2" width="18" customWidth="1"/>
    <col min="3" max="3" width="60" customWidth="1"/>
  </cols>
  <sheetData>
    <row r="1" spans="1:2" ht="18.45" customHeight="1" x14ac:dyDescent="0.5">
      <c r="A1" s="1" t="s">
        <v>0</v>
      </c>
    </row>
    <row r="2" spans="1:2" x14ac:dyDescent="0.4">
      <c r="A2" s="2" t="s">
        <v>1</v>
      </c>
    </row>
    <row r="4" spans="1:2" x14ac:dyDescent="0.4">
      <c r="A4" s="3" t="s">
        <v>2</v>
      </c>
    </row>
    <row r="5" spans="1:2" x14ac:dyDescent="0.4">
      <c r="A5" s="4" t="s">
        <v>3</v>
      </c>
      <c r="B5" t="s">
        <v>4</v>
      </c>
    </row>
    <row r="6" spans="1:2" x14ac:dyDescent="0.4">
      <c r="A6" s="4" t="s">
        <v>5</v>
      </c>
      <c r="B6" t="s">
        <v>6</v>
      </c>
    </row>
    <row r="7" spans="1:2" x14ac:dyDescent="0.4">
      <c r="A7" s="4" t="s">
        <v>7</v>
      </c>
      <c r="B7" t="s">
        <v>8</v>
      </c>
    </row>
    <row r="8" spans="1:2" x14ac:dyDescent="0.4">
      <c r="A8" s="4" t="s">
        <v>9</v>
      </c>
      <c r="B8" t="s">
        <v>10</v>
      </c>
    </row>
    <row r="10" spans="1:2" x14ac:dyDescent="0.4">
      <c r="A10" s="3" t="s">
        <v>11</v>
      </c>
    </row>
    <row r="11" spans="1:2" x14ac:dyDescent="0.4">
      <c r="A11" s="4" t="s">
        <v>12</v>
      </c>
      <c r="B11" s="5">
        <v>4871</v>
      </c>
    </row>
    <row r="12" spans="1:2" x14ac:dyDescent="0.4">
      <c r="A12" s="4" t="s">
        <v>13</v>
      </c>
      <c r="B12" s="5">
        <v>7818</v>
      </c>
    </row>
    <row r="13" spans="1:2" x14ac:dyDescent="0.4">
      <c r="A13" s="4" t="s">
        <v>14</v>
      </c>
      <c r="B13" s="5">
        <v>103934</v>
      </c>
    </row>
    <row r="14" spans="1:2" x14ac:dyDescent="0.4">
      <c r="A14" s="4" t="s">
        <v>15</v>
      </c>
      <c r="B14" s="6">
        <f>B13-B12</f>
        <v>96116</v>
      </c>
    </row>
    <row r="15" spans="1:2" x14ac:dyDescent="0.4">
      <c r="A15" s="4" t="s">
        <v>16</v>
      </c>
      <c r="B15" s="5">
        <v>2500</v>
      </c>
    </row>
    <row r="17" spans="1:3" x14ac:dyDescent="0.4">
      <c r="A17" s="3" t="s">
        <v>17</v>
      </c>
      <c r="C17" s="2" t="s">
        <v>18</v>
      </c>
    </row>
    <row r="18" spans="1:3" x14ac:dyDescent="0.4">
      <c r="A18" s="4" t="s">
        <v>19</v>
      </c>
      <c r="B18" s="7">
        <v>2.5000000000000001E-2</v>
      </c>
      <c r="C18" s="8" t="s">
        <v>20</v>
      </c>
    </row>
    <row r="19" spans="1:3" x14ac:dyDescent="0.4">
      <c r="A19" s="4" t="s">
        <v>21</v>
      </c>
      <c r="B19" s="7">
        <v>5.7445351587395263E-2</v>
      </c>
      <c r="C19" s="8" t="s">
        <v>22</v>
      </c>
    </row>
    <row r="20" spans="1:3" x14ac:dyDescent="0.4">
      <c r="A20" s="4" t="s">
        <v>23</v>
      </c>
      <c r="B20" s="9">
        <v>0.48899999999999999</v>
      </c>
      <c r="C20" s="8" t="s">
        <v>24</v>
      </c>
    </row>
    <row r="21" spans="1:3" x14ac:dyDescent="0.4">
      <c r="A21" s="4" t="s">
        <v>25</v>
      </c>
      <c r="B21" s="9">
        <v>0.79500000000000004</v>
      </c>
      <c r="C21" s="8" t="s">
        <v>26</v>
      </c>
    </row>
    <row r="22" spans="1:3" x14ac:dyDescent="0.4">
      <c r="A22" s="4" t="s">
        <v>27</v>
      </c>
      <c r="B22" s="7">
        <v>0.25700000000000001</v>
      </c>
      <c r="C22" s="8" t="s">
        <v>28</v>
      </c>
    </row>
    <row r="23" spans="1:3" x14ac:dyDescent="0.4">
      <c r="A23" s="4" t="s">
        <v>29</v>
      </c>
      <c r="B23" s="10">
        <f>(1-0.33)*(B20*(1+(1-B22)*B21))+0.33</f>
        <v>0.85115612655000006</v>
      </c>
    </row>
    <row r="24" spans="1:3" x14ac:dyDescent="0.4">
      <c r="A24" s="4" t="s">
        <v>30</v>
      </c>
      <c r="B24" s="7">
        <v>5.0000000000000001E-3</v>
      </c>
      <c r="C24" s="8" t="s">
        <v>31</v>
      </c>
    </row>
    <row r="25" spans="1:3" x14ac:dyDescent="0.4">
      <c r="A25" s="4" t="s">
        <v>32</v>
      </c>
      <c r="B25" s="7">
        <v>3.0000000000000001E-3</v>
      </c>
      <c r="C25" s="8" t="s">
        <v>33</v>
      </c>
    </row>
    <row r="26" spans="1:3" x14ac:dyDescent="0.4">
      <c r="A26" s="4" t="s">
        <v>34</v>
      </c>
      <c r="B26" s="11">
        <f>MAX(B18+B23*B19+B24+B25+B39,MIN(B27,0.08)+0.025)</f>
        <v>8.189496294543025E-2</v>
      </c>
    </row>
    <row r="27" spans="1:3" x14ac:dyDescent="0.4">
      <c r="A27" s="4" t="s">
        <v>35</v>
      </c>
      <c r="B27" s="7">
        <v>4.3999999999999997E-2</v>
      </c>
      <c r="C27" s="8" t="s">
        <v>36</v>
      </c>
    </row>
    <row r="28" spans="1:3" x14ac:dyDescent="0.4">
      <c r="A28" s="4" t="s">
        <v>37</v>
      </c>
      <c r="B28" s="11">
        <f>B27*(1-B22)</f>
        <v>3.2691999999999999E-2</v>
      </c>
    </row>
    <row r="29" spans="1:3" x14ac:dyDescent="0.4">
      <c r="A29" s="4" t="s">
        <v>38</v>
      </c>
      <c r="B29" s="11">
        <f>1/(1+B21)</f>
        <v>0.55710306406685239</v>
      </c>
    </row>
    <row r="30" spans="1:3" x14ac:dyDescent="0.4">
      <c r="A30" s="4" t="s">
        <v>39</v>
      </c>
      <c r="B30" s="11">
        <f>B21/(1+B21)</f>
        <v>0.44289693593314766</v>
      </c>
    </row>
    <row r="31" spans="1:3" x14ac:dyDescent="0.4">
      <c r="A31" s="4" t="s">
        <v>40</v>
      </c>
      <c r="B31" s="12">
        <f>MAX(B26*B29+B28*B30,B35)</f>
        <v>6.0103121418066993E-2</v>
      </c>
    </row>
    <row r="32" spans="1:3" x14ac:dyDescent="0.4">
      <c r="A32" s="3" t="s">
        <v>41</v>
      </c>
    </row>
    <row r="33" spans="1:3" x14ac:dyDescent="0.4">
      <c r="A33" s="4" t="s">
        <v>42</v>
      </c>
      <c r="B33" s="7">
        <v>0.02</v>
      </c>
    </row>
    <row r="34" spans="1:3" x14ac:dyDescent="0.4">
      <c r="A34" s="4" t="s">
        <v>43</v>
      </c>
      <c r="B34" s="7">
        <v>0.01</v>
      </c>
    </row>
    <row r="35" spans="1:3" x14ac:dyDescent="0.4">
      <c r="A35" s="4" t="s">
        <v>44</v>
      </c>
      <c r="B35" s="7">
        <v>0</v>
      </c>
      <c r="C35" s="8" t="s">
        <v>45</v>
      </c>
    </row>
    <row r="36" spans="1:3" x14ac:dyDescent="0.4">
      <c r="A36" s="4" t="s">
        <v>46</v>
      </c>
      <c r="B36" s="7">
        <v>0.42880000000000001</v>
      </c>
      <c r="C36" s="8" t="s">
        <v>47</v>
      </c>
    </row>
    <row r="37" spans="1:3" x14ac:dyDescent="0.4">
      <c r="A37" s="4" t="s">
        <v>48</v>
      </c>
      <c r="B37" s="11">
        <f>B18+0.008+0.02*B36</f>
        <v>4.1576000000000002E-2</v>
      </c>
      <c r="C37" s="8" t="s">
        <v>49</v>
      </c>
    </row>
    <row r="38" spans="1:3" x14ac:dyDescent="0.4">
      <c r="A38" s="4" t="s">
        <v>50</v>
      </c>
      <c r="B38" s="11">
        <f>B37*(1-B22)</f>
        <v>3.0890968000000001E-2</v>
      </c>
    </row>
    <row r="39" spans="1:3" x14ac:dyDescent="0.4">
      <c r="A39" s="4" t="s">
        <v>51</v>
      </c>
      <c r="B39" s="7">
        <v>0</v>
      </c>
      <c r="C39" s="8" t="s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43"/>
  <sheetViews>
    <sheetView workbookViewId="0"/>
  </sheetViews>
  <sheetFormatPr baseColWidth="10" defaultColWidth="9.23046875" defaultRowHeight="14.6" x14ac:dyDescent="0.4"/>
  <cols>
    <col min="1" max="1" width="30" customWidth="1"/>
    <col min="2" max="2" width="4" customWidth="1"/>
    <col min="3" max="11" width="14" customWidth="1"/>
  </cols>
  <sheetData>
    <row r="1" spans="1:11" ht="18.45" customHeight="1" x14ac:dyDescent="0.5">
      <c r="A1" s="1" t="s">
        <v>53</v>
      </c>
    </row>
    <row r="2" spans="1:11" x14ac:dyDescent="0.4">
      <c r="A2" s="2" t="s">
        <v>54</v>
      </c>
    </row>
    <row r="3" spans="1:11" x14ac:dyDescent="0.4">
      <c r="C3" s="13" t="s">
        <v>55</v>
      </c>
      <c r="D3" s="13" t="s">
        <v>56</v>
      </c>
      <c r="E3" s="13" t="s">
        <v>57</v>
      </c>
      <c r="F3" s="13" t="s">
        <v>58</v>
      </c>
      <c r="G3" s="13" t="s">
        <v>59</v>
      </c>
      <c r="H3" s="13" t="s">
        <v>60</v>
      </c>
      <c r="I3" s="13" t="s">
        <v>61</v>
      </c>
      <c r="J3" s="13" t="s">
        <v>62</v>
      </c>
      <c r="K3" s="13" t="s">
        <v>63</v>
      </c>
    </row>
    <row r="4" spans="1:11" x14ac:dyDescent="0.4">
      <c r="A4" s="4" t="s">
        <v>64</v>
      </c>
      <c r="C4" s="14" t="s">
        <v>55</v>
      </c>
      <c r="D4" s="14" t="s">
        <v>65</v>
      </c>
      <c r="E4" s="14" t="s">
        <v>57</v>
      </c>
      <c r="F4" s="14" t="s">
        <v>58</v>
      </c>
      <c r="G4" s="14"/>
      <c r="H4" s="14"/>
      <c r="I4" s="14"/>
      <c r="J4" s="14"/>
    </row>
    <row r="5" spans="1:11" x14ac:dyDescent="0.4">
      <c r="A5" s="4" t="s">
        <v>66</v>
      </c>
      <c r="C5" s="5">
        <v>25610</v>
      </c>
      <c r="D5" s="5"/>
      <c r="E5" s="5">
        <v>12652</v>
      </c>
      <c r="F5" s="5">
        <v>4103</v>
      </c>
      <c r="G5" s="5"/>
      <c r="H5" s="5"/>
      <c r="I5" s="5"/>
      <c r="J5" s="5"/>
    </row>
    <row r="6" spans="1:11" x14ac:dyDescent="0.4">
      <c r="A6" s="4" t="s">
        <v>67</v>
      </c>
      <c r="C6" s="7">
        <v>2.5000000000000001E-2</v>
      </c>
      <c r="D6" s="7"/>
      <c r="E6" s="7">
        <v>0.03</v>
      </c>
      <c r="F6" s="7">
        <v>0.03</v>
      </c>
      <c r="G6" s="7"/>
      <c r="H6" s="7"/>
      <c r="I6" s="7"/>
      <c r="J6" s="7"/>
    </row>
    <row r="7" spans="1:11" x14ac:dyDescent="0.4">
      <c r="A7" s="4" t="s">
        <v>68</v>
      </c>
      <c r="C7" s="7">
        <v>0.25</v>
      </c>
      <c r="D7" s="7"/>
      <c r="E7" s="7">
        <v>0.19700000000000001</v>
      </c>
      <c r="F7" s="7">
        <v>2.1999999999999999E-2</v>
      </c>
      <c r="G7" s="7"/>
      <c r="H7" s="7"/>
      <c r="I7" s="7"/>
      <c r="J7" s="7"/>
    </row>
    <row r="8" spans="1:11" x14ac:dyDescent="0.4">
      <c r="A8" s="4" t="s">
        <v>69</v>
      </c>
      <c r="C8" s="15">
        <v>0.25</v>
      </c>
      <c r="D8" s="15"/>
      <c r="E8" s="15">
        <v>0.19700000000000001</v>
      </c>
      <c r="F8" s="15">
        <v>2.1999999999999999E-2</v>
      </c>
      <c r="G8" s="15"/>
      <c r="H8" s="15"/>
      <c r="I8" s="15"/>
      <c r="J8" s="15"/>
    </row>
    <row r="9" spans="1:11" x14ac:dyDescent="0.4">
      <c r="A9" s="4" t="s">
        <v>70</v>
      </c>
      <c r="C9" s="7">
        <v>0.26</v>
      </c>
      <c r="D9" s="7"/>
      <c r="E9" s="7">
        <v>0.21</v>
      </c>
      <c r="F9" s="7">
        <v>5.5E-2</v>
      </c>
      <c r="G9" s="7"/>
      <c r="H9" s="7"/>
      <c r="I9" s="7"/>
      <c r="J9" s="7"/>
    </row>
    <row r="10" spans="1:11" x14ac:dyDescent="0.4">
      <c r="A10" s="4" t="s">
        <v>71</v>
      </c>
      <c r="C10" s="7">
        <v>0.19</v>
      </c>
      <c r="D10" s="7"/>
      <c r="E10" s="7">
        <v>0.16</v>
      </c>
      <c r="F10" s="7">
        <v>5.3999999999999999E-2</v>
      </c>
      <c r="G10" s="7"/>
      <c r="H10" s="7"/>
      <c r="I10" s="7"/>
      <c r="J10" s="7"/>
    </row>
    <row r="11" spans="1:11" x14ac:dyDescent="0.4">
      <c r="A11" s="4" t="s">
        <v>72</v>
      </c>
      <c r="C11" s="7">
        <v>0.17499999999999999</v>
      </c>
      <c r="D11" s="7"/>
      <c r="E11" s="7">
        <v>0.20599999999999999</v>
      </c>
      <c r="F11" s="7">
        <v>6.0999999999999999E-2</v>
      </c>
      <c r="G11" s="7"/>
      <c r="H11" s="7"/>
      <c r="I11" s="7"/>
      <c r="J11" s="7"/>
    </row>
    <row r="12" spans="1:11" x14ac:dyDescent="0.4">
      <c r="A12" s="4" t="s">
        <v>73</v>
      </c>
      <c r="C12" s="7">
        <v>1.4999999999999999E-2</v>
      </c>
      <c r="D12" s="7"/>
      <c r="E12" s="7">
        <v>-4.5999999999999999E-2</v>
      </c>
      <c r="F12" s="7">
        <v>-7.0000000000000001E-3</v>
      </c>
      <c r="G12" s="7"/>
      <c r="H12" s="7"/>
      <c r="I12" s="7"/>
      <c r="J12" s="7"/>
    </row>
    <row r="13" spans="1:11" x14ac:dyDescent="0.4">
      <c r="A13" s="4" t="s">
        <v>74</v>
      </c>
      <c r="C13" s="7">
        <v>0.02</v>
      </c>
      <c r="D13" s="7"/>
      <c r="E13" s="7">
        <v>0.02</v>
      </c>
      <c r="F13" s="7">
        <v>0.02</v>
      </c>
      <c r="G13" s="7"/>
      <c r="H13" s="7"/>
      <c r="I13" s="7"/>
      <c r="J13" s="7"/>
    </row>
    <row r="14" spans="1:11" x14ac:dyDescent="0.4">
      <c r="A14" s="4" t="s">
        <v>75</v>
      </c>
      <c r="C14" s="9">
        <v>0.48899999999999999</v>
      </c>
      <c r="D14" s="9"/>
      <c r="E14" s="9">
        <v>0.48899999999999999</v>
      </c>
      <c r="F14" s="9">
        <v>0.97799999999999998</v>
      </c>
      <c r="G14" s="9"/>
      <c r="H14" s="9"/>
      <c r="I14" s="9"/>
      <c r="J14" s="9"/>
    </row>
    <row r="15" spans="1:11" x14ac:dyDescent="0.4">
      <c r="A15" s="4" t="s">
        <v>76</v>
      </c>
      <c r="C15" s="7">
        <v>0</v>
      </c>
      <c r="D15" s="7"/>
      <c r="E15" s="7">
        <v>0</v>
      </c>
      <c r="F15" s="7">
        <v>0</v>
      </c>
      <c r="G15" s="7"/>
      <c r="H15" s="7"/>
      <c r="I15" s="7"/>
      <c r="J15" s="7"/>
    </row>
    <row r="16" spans="1:11" x14ac:dyDescent="0.4">
      <c r="A16" s="4" t="s">
        <v>77</v>
      </c>
      <c r="C16" s="11">
        <f>MAX((MAX(Inputs!B18+((1-0.33)*C14*(1+(1-Inputs!B22)*Inputs!B21)+0.33)*Inputs!B19+IF(ISBLANK(C17),Inputs!B24,C17)+Inputs!B25+Inputs!B39,MIN(Inputs!B27,0.08)+0.025))*Inputs!B29+Inputs!B28*Inputs!B30,C15)</f>
        <v>6.0103121418066993E-2</v>
      </c>
      <c r="D16" s="11">
        <f>MAX((MAX(Inputs!B18+((1-0.33)*D14*(1+(1-Inputs!B22)*Inputs!B21)+0.33)*Inputs!B19+IF(ISBLANK(D17),Inputs!B24,D17)+Inputs!B25+Inputs!B39,MIN(Inputs!B27,0.08)+0.025))*Inputs!B29+Inputs!B28*Inputs!B30,D15)</f>
        <v>5.2919298050139285E-2</v>
      </c>
      <c r="E16" s="11">
        <f>MAX((MAX(Inputs!B18+((1-0.33)*E14*(1+(1-Inputs!B22)*Inputs!B21)+0.33)*Inputs!B19+IF(ISBLANK(E17),Inputs!B24,E17)+Inputs!B25+Inputs!B39,MIN(Inputs!B27,0.08)+0.025))*Inputs!B29+Inputs!B28*Inputs!B30,E15)</f>
        <v>6.2888636738401255E-2</v>
      </c>
      <c r="F16" s="11">
        <f>MAX((MAX(Inputs!B18+((1-0.33)*F14*(1+(1-Inputs!B22)*Inputs!B21)+0.33)*Inputs!B19+IF(ISBLANK(F17),Inputs!B24,F17)+Inputs!B25+Inputs!B39,MIN(Inputs!B27,0.08)+0.025))*Inputs!B29+Inputs!B28*Inputs!B30,F15)</f>
        <v>7.6781671235108678E-2</v>
      </c>
      <c r="G16" s="11">
        <f>MAX((MAX(Inputs!B18+((1-0.33)*G14*(1+(1-Inputs!B22)*Inputs!B21)+0.33)*Inputs!B19+IF(ISBLANK(G17),Inputs!B24,G17)+Inputs!B25+Inputs!B39,MIN(Inputs!B27,0.08)+0.025))*Inputs!B29+Inputs!B28*Inputs!B30,G15)</f>
        <v>5.2919298050139285E-2</v>
      </c>
      <c r="H16" s="11">
        <f>MAX((MAX(Inputs!B18+((1-0.33)*H14*(1+(1-Inputs!B22)*Inputs!B21)+0.33)*Inputs!B19+IF(ISBLANK(H17),Inputs!B24,H17)+Inputs!B25+Inputs!B39,MIN(Inputs!B27,0.08)+0.025))*Inputs!B29+Inputs!B28*Inputs!B30,H15)</f>
        <v>5.2919298050139285E-2</v>
      </c>
      <c r="I16" s="11">
        <f>MAX((MAX(Inputs!B18+((1-0.33)*I14*(1+(1-Inputs!B22)*Inputs!B21)+0.33)*Inputs!B19+IF(ISBLANK(I17),Inputs!B24,I17)+Inputs!B25+Inputs!B39,MIN(Inputs!B27,0.08)+0.025))*Inputs!B29+Inputs!B28*Inputs!B30,I15)</f>
        <v>5.2919298050139285E-2</v>
      </c>
      <c r="J16" s="11">
        <f>MAX((MAX(Inputs!B18+((1-0.33)*J14*(1+(1-Inputs!B22)*Inputs!B21)+0.33)*Inputs!B19+IF(ISBLANK(J17),Inputs!B24,J17)+Inputs!B25+Inputs!B39,MIN(Inputs!B27,0.08)+0.025))*Inputs!B29+Inputs!B28*Inputs!B30,J15)</f>
        <v>5.2919298050139285E-2</v>
      </c>
    </row>
    <row r="17" spans="1:10" x14ac:dyDescent="0.4">
      <c r="A17" s="16" t="s">
        <v>78</v>
      </c>
      <c r="C17" s="7"/>
      <c r="D17" s="7"/>
      <c r="E17" s="7">
        <v>0.01</v>
      </c>
      <c r="F17" s="7"/>
      <c r="G17" s="7"/>
      <c r="H17" s="7"/>
      <c r="I17" s="7"/>
      <c r="J17" s="7"/>
    </row>
    <row r="18" spans="1:10" ht="40" customHeight="1" x14ac:dyDescent="0.4">
      <c r="A18" s="17" t="s">
        <v>79</v>
      </c>
      <c r="C18" s="18" t="s">
        <v>80</v>
      </c>
      <c r="D18" s="35" t="s">
        <v>81</v>
      </c>
      <c r="E18" s="18" t="s">
        <v>82</v>
      </c>
      <c r="F18" s="18" t="s">
        <v>83</v>
      </c>
      <c r="G18" s="18"/>
      <c r="H18" s="18"/>
      <c r="I18" s="18"/>
      <c r="J18" s="18"/>
    </row>
    <row r="19" spans="1:10" ht="40" customHeight="1" x14ac:dyDescent="0.4">
      <c r="A19" s="17" t="s">
        <v>84</v>
      </c>
      <c r="C19" s="18" t="s">
        <v>85</v>
      </c>
      <c r="D19" s="18"/>
      <c r="E19" s="18" t="s">
        <v>86</v>
      </c>
      <c r="F19" s="18" t="s">
        <v>87</v>
      </c>
      <c r="G19" s="18"/>
      <c r="H19" s="18"/>
      <c r="I19" s="18"/>
      <c r="J19" s="18"/>
    </row>
    <row r="20" spans="1:10" ht="28" customHeight="1" x14ac:dyDescent="0.4">
      <c r="A20" s="17" t="s">
        <v>88</v>
      </c>
      <c r="C20" s="18" t="s">
        <v>89</v>
      </c>
      <c r="D20" s="18"/>
      <c r="E20" s="18" t="s">
        <v>90</v>
      </c>
      <c r="F20" s="18" t="s">
        <v>91</v>
      </c>
      <c r="G20" s="18"/>
      <c r="H20" s="18"/>
      <c r="I20" s="18"/>
      <c r="J20" s="18"/>
    </row>
    <row r="21" spans="1:10" x14ac:dyDescent="0.4">
      <c r="A21" s="4" t="s">
        <v>92</v>
      </c>
      <c r="C21" s="6">
        <f t="shared" ref="C21:J21" si="0">C5*(1+C6)^1</f>
        <v>26250.249999999996</v>
      </c>
      <c r="D21" s="6">
        <f t="shared" si="0"/>
        <v>0</v>
      </c>
      <c r="E21" s="6">
        <f t="shared" si="0"/>
        <v>13031.56</v>
      </c>
      <c r="F21" s="6">
        <f t="shared" si="0"/>
        <v>4226.09</v>
      </c>
      <c r="G21" s="6">
        <f t="shared" si="0"/>
        <v>0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4">
      <c r="A22" s="4" t="s">
        <v>93</v>
      </c>
      <c r="C22" s="6">
        <f t="shared" ref="C22:J22" si="1">C5*(1+C6)^2</f>
        <v>26906.506249999999</v>
      </c>
      <c r="D22" s="6">
        <f t="shared" si="1"/>
        <v>0</v>
      </c>
      <c r="E22" s="6">
        <f t="shared" si="1"/>
        <v>13422.506799999999</v>
      </c>
      <c r="F22" s="6">
        <f t="shared" si="1"/>
        <v>4352.8726999999999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4">
      <c r="A23" s="4" t="s">
        <v>94</v>
      </c>
      <c r="C23" s="6">
        <f t="shared" ref="C23:J23" si="2">C5*(1+C6)^3</f>
        <v>27579.168906249997</v>
      </c>
      <c r="D23" s="6">
        <f t="shared" si="2"/>
        <v>0</v>
      </c>
      <c r="E23" s="6">
        <f t="shared" si="2"/>
        <v>13825.182004</v>
      </c>
      <c r="F23" s="6">
        <f t="shared" si="2"/>
        <v>4483.4588809999996</v>
      </c>
      <c r="G23" s="6">
        <f t="shared" si="2"/>
        <v>0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4">
      <c r="A24" s="4" t="s">
        <v>95</v>
      </c>
      <c r="C24" s="6">
        <f t="shared" ref="C24:J24" si="3">C5*(1+C6)^4</f>
        <v>28268.648128906243</v>
      </c>
      <c r="D24" s="6">
        <f t="shared" si="3"/>
        <v>0</v>
      </c>
      <c r="E24" s="6">
        <f t="shared" si="3"/>
        <v>14239.937464119999</v>
      </c>
      <c r="F24" s="6">
        <f t="shared" si="3"/>
        <v>4617.9626474299994</v>
      </c>
      <c r="G24" s="6">
        <f t="shared" si="3"/>
        <v>0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4">
      <c r="A25" s="4" t="s">
        <v>96</v>
      </c>
      <c r="C25" s="6">
        <f t="shared" ref="C25:J25" si="4">C5*(1+C6)^5</f>
        <v>28975.364332128898</v>
      </c>
      <c r="D25" s="6">
        <f t="shared" si="4"/>
        <v>0</v>
      </c>
      <c r="E25" s="6">
        <f t="shared" si="4"/>
        <v>14667.135588043599</v>
      </c>
      <c r="F25" s="6">
        <f t="shared" si="4"/>
        <v>4756.5015268528996</v>
      </c>
      <c r="G25" s="6">
        <f t="shared" si="4"/>
        <v>0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6" spans="1:10" x14ac:dyDescent="0.4">
      <c r="A26" s="4" t="s">
        <v>97</v>
      </c>
      <c r="C26" s="7"/>
      <c r="D26" s="7"/>
      <c r="E26" s="7">
        <v>-0.03</v>
      </c>
      <c r="F26" s="7"/>
      <c r="G26" s="7"/>
      <c r="H26" s="7"/>
      <c r="I26" s="7"/>
      <c r="J26" s="7"/>
    </row>
    <row r="27" spans="1:10" x14ac:dyDescent="0.4">
      <c r="A27" s="4" t="s">
        <v>98</v>
      </c>
      <c r="C27" s="11">
        <f t="shared" ref="C27:J27" si="5">IF(ISBLANK(C9),C7,C7+(C9-C7)*(0)/4)</f>
        <v>0.25</v>
      </c>
      <c r="D27" s="11">
        <f t="shared" si="5"/>
        <v>0</v>
      </c>
      <c r="E27" s="11">
        <f t="shared" si="5"/>
        <v>0.19700000000000001</v>
      </c>
      <c r="F27" s="11">
        <f t="shared" si="5"/>
        <v>2.1999999999999999E-2</v>
      </c>
      <c r="G27" s="11">
        <f t="shared" si="5"/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4">
      <c r="A28" s="4" t="s">
        <v>99</v>
      </c>
      <c r="C28" s="11">
        <f t="shared" ref="C28:J28" si="6">IF(ISBLANK(C9),C7,C7+(C9-C7)*(1)/4)</f>
        <v>0.2525</v>
      </c>
      <c r="D28" s="11">
        <f t="shared" si="6"/>
        <v>0</v>
      </c>
      <c r="E28" s="11">
        <f t="shared" si="6"/>
        <v>0.20025000000000001</v>
      </c>
      <c r="F28" s="11">
        <f t="shared" si="6"/>
        <v>3.0249999999999999E-2</v>
      </c>
      <c r="G28" s="11">
        <f t="shared" si="6"/>
        <v>0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4">
      <c r="A29" s="4" t="s">
        <v>100</v>
      </c>
      <c r="C29" s="11">
        <f t="shared" ref="C29:J29" si="7">IF(ISBLANK(C9),C7,C7+(C9-C7)*(2)/4)</f>
        <v>0.255</v>
      </c>
      <c r="D29" s="11">
        <f t="shared" si="7"/>
        <v>0</v>
      </c>
      <c r="E29" s="11">
        <f t="shared" si="7"/>
        <v>0.20350000000000001</v>
      </c>
      <c r="F29" s="11">
        <f t="shared" si="7"/>
        <v>3.85E-2</v>
      </c>
      <c r="G29" s="11">
        <f t="shared" si="7"/>
        <v>0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4">
      <c r="A30" s="4" t="s">
        <v>101</v>
      </c>
      <c r="C30" s="11">
        <f t="shared" ref="C30:J30" si="8">IF(ISBLANK(C9),C7,C7+(C9-C7)*(3)/4)</f>
        <v>0.25750000000000001</v>
      </c>
      <c r="D30" s="11">
        <f t="shared" si="8"/>
        <v>0</v>
      </c>
      <c r="E30" s="11">
        <f t="shared" si="8"/>
        <v>0.20674999999999999</v>
      </c>
      <c r="F30" s="11">
        <f t="shared" si="8"/>
        <v>4.675E-2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4">
      <c r="A31" s="4" t="s">
        <v>102</v>
      </c>
      <c r="C31" s="11">
        <f t="shared" ref="C31:J31" si="9">IF(ISBLANK(C9),C7,C7+(C9-C7)*(4)/4)</f>
        <v>0.26</v>
      </c>
      <c r="D31" s="11">
        <f t="shared" si="9"/>
        <v>0</v>
      </c>
      <c r="E31" s="11">
        <f t="shared" si="9"/>
        <v>0.21</v>
      </c>
      <c r="F31" s="11">
        <f t="shared" si="9"/>
        <v>5.5E-2</v>
      </c>
      <c r="G31" s="11">
        <f t="shared" si="9"/>
        <v>0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4">
      <c r="A33" s="4" t="s">
        <v>103</v>
      </c>
      <c r="C33" s="6">
        <f t="shared" ref="C33:J37" si="10">C21*C27</f>
        <v>6562.5624999999991</v>
      </c>
      <c r="D33" s="6">
        <f t="shared" si="10"/>
        <v>0</v>
      </c>
      <c r="E33" s="6">
        <f t="shared" si="10"/>
        <v>2567.2173200000002</v>
      </c>
      <c r="F33" s="6">
        <f t="shared" si="10"/>
        <v>92.973979999999997</v>
      </c>
      <c r="G33" s="6">
        <f t="shared" si="10"/>
        <v>0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4">
      <c r="A34" s="4" t="s">
        <v>104</v>
      </c>
      <c r="C34" s="6">
        <f t="shared" si="10"/>
        <v>6793.8928281250001</v>
      </c>
      <c r="D34" s="6">
        <f t="shared" si="10"/>
        <v>0</v>
      </c>
      <c r="E34" s="6">
        <f t="shared" si="10"/>
        <v>2687.8569867000001</v>
      </c>
      <c r="F34" s="6">
        <f t="shared" si="10"/>
        <v>131.67439917499999</v>
      </c>
      <c r="G34" s="6">
        <f t="shared" si="10"/>
        <v>0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4">
      <c r="A35" s="4" t="s">
        <v>105</v>
      </c>
      <c r="C35" s="6">
        <f t="shared" si="10"/>
        <v>7032.6880710937494</v>
      </c>
      <c r="D35" s="6">
        <f t="shared" si="10"/>
        <v>0</v>
      </c>
      <c r="E35" s="6">
        <f t="shared" si="10"/>
        <v>2813.4245378140004</v>
      </c>
      <c r="F35" s="6">
        <f t="shared" si="10"/>
        <v>172.61316691849999</v>
      </c>
      <c r="G35" s="6">
        <f t="shared" si="10"/>
        <v>0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4">
      <c r="A36" s="4" t="s">
        <v>106</v>
      </c>
      <c r="C36" s="6">
        <f t="shared" si="10"/>
        <v>7279.1768931933575</v>
      </c>
      <c r="D36" s="6">
        <f t="shared" si="10"/>
        <v>0</v>
      </c>
      <c r="E36" s="6">
        <f t="shared" si="10"/>
        <v>2944.1070707068097</v>
      </c>
      <c r="F36" s="6">
        <f t="shared" si="10"/>
        <v>215.88975376735246</v>
      </c>
      <c r="G36" s="6">
        <f t="shared" si="10"/>
        <v>0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4">
      <c r="A37" s="4" t="s">
        <v>107</v>
      </c>
      <c r="C37" s="6">
        <f t="shared" si="10"/>
        <v>7533.5947263535136</v>
      </c>
      <c r="D37" s="6">
        <f t="shared" si="10"/>
        <v>0</v>
      </c>
      <c r="E37" s="6">
        <f t="shared" si="10"/>
        <v>3080.0984734891554</v>
      </c>
      <c r="F37" s="6">
        <f t="shared" si="10"/>
        <v>261.6075839769095</v>
      </c>
      <c r="G37" s="6">
        <f t="shared" si="10"/>
        <v>0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4">
      <c r="A39" s="4" t="s">
        <v>108</v>
      </c>
      <c r="C39" s="6">
        <f>C33*(1-Inputs!B22)</f>
        <v>4875.9839374999992</v>
      </c>
      <c r="D39" s="6">
        <f>D33*(1-Inputs!B22)</f>
        <v>0</v>
      </c>
      <c r="E39" s="6">
        <f>E33*(1-Inputs!B22)</f>
        <v>1907.4424687600001</v>
      </c>
      <c r="F39" s="6">
        <f>F33*(1-Inputs!B22)</f>
        <v>69.079667139999998</v>
      </c>
      <c r="G39" s="6">
        <f>G33*(1-Inputs!B22)</f>
        <v>0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4">
      <c r="A40" s="4" t="s">
        <v>109</v>
      </c>
      <c r="C40" s="6">
        <f>C34*(1-Inputs!B22)</f>
        <v>5047.8623712968747</v>
      </c>
      <c r="D40" s="6">
        <f>D34*(1-Inputs!B22)</f>
        <v>0</v>
      </c>
      <c r="E40" s="6">
        <f>E34*(1-Inputs!B22)</f>
        <v>1997.0777411181</v>
      </c>
      <c r="F40" s="6">
        <f>F34*(1-Inputs!B22)</f>
        <v>97.83407858702499</v>
      </c>
      <c r="G40" s="6">
        <f>G34*(1-Inputs!B22)</f>
        <v>0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4">
      <c r="A41" s="4" t="s">
        <v>110</v>
      </c>
      <c r="C41" s="6">
        <f>C35*(1-Inputs!B22)</f>
        <v>5225.2872368226554</v>
      </c>
      <c r="D41" s="6">
        <f>D35*(1-Inputs!B22)</f>
        <v>0</v>
      </c>
      <c r="E41" s="6">
        <f>E35*(1-Inputs!B22)</f>
        <v>2090.3744315958024</v>
      </c>
      <c r="F41" s="6">
        <f>F35*(1-Inputs!B22)</f>
        <v>128.25158302044548</v>
      </c>
      <c r="G41" s="6">
        <f>G35*(1-Inputs!B22)</f>
        <v>0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4">
      <c r="A42" s="4" t="s">
        <v>111</v>
      </c>
      <c r="C42" s="6">
        <f>C36*(1-Inputs!B22)</f>
        <v>5408.4284316426647</v>
      </c>
      <c r="D42" s="6">
        <f>D36*(1-Inputs!B22)</f>
        <v>0</v>
      </c>
      <c r="E42" s="6">
        <f>E36*(1-Inputs!B22)</f>
        <v>2187.4715535351597</v>
      </c>
      <c r="F42" s="6">
        <f>F36*(1-Inputs!B22)</f>
        <v>160.40608704914288</v>
      </c>
      <c r="G42" s="6">
        <f>G36*(1-Inputs!B22)</f>
        <v>0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4">
      <c r="A43" s="4" t="s">
        <v>112</v>
      </c>
      <c r="C43" s="6">
        <f>C37*(1-Inputs!B22)</f>
        <v>5597.4608816806603</v>
      </c>
      <c r="D43" s="6">
        <f>D37*(1-Inputs!B22)</f>
        <v>0</v>
      </c>
      <c r="E43" s="6">
        <f>E37*(1-Inputs!B22)</f>
        <v>2288.5131658024425</v>
      </c>
      <c r="F43" s="6">
        <f>F37*(1-Inputs!B22)</f>
        <v>194.37443489484374</v>
      </c>
      <c r="G43" s="6">
        <f>G37*(1-Inputs!B22)</f>
        <v>0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4">
      <c r="A45" s="4" t="s">
        <v>113</v>
      </c>
      <c r="C45" s="6">
        <f t="shared" ref="C45:J45" si="11">C21*IF(ISBLANK(C26),C12,C12+(C26-C12)*(0)/4)</f>
        <v>393.75374999999991</v>
      </c>
      <c r="D45" s="6">
        <f t="shared" si="11"/>
        <v>0</v>
      </c>
      <c r="E45" s="6">
        <f t="shared" si="11"/>
        <v>-599.45175999999992</v>
      </c>
      <c r="F45" s="6">
        <f t="shared" si="11"/>
        <v>-29.582630000000002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4">
      <c r="A46" s="4" t="s">
        <v>114</v>
      </c>
      <c r="C46" s="6">
        <f t="shared" ref="C46:J46" si="12">C22*IF(ISBLANK(C26),C12,C12+(C26-C12)*(1)/4)</f>
        <v>403.59759374999999</v>
      </c>
      <c r="D46" s="6">
        <f t="shared" si="12"/>
        <v>0</v>
      </c>
      <c r="E46" s="6">
        <f t="shared" si="12"/>
        <v>-563.74528559999987</v>
      </c>
      <c r="F46" s="6">
        <f t="shared" si="12"/>
        <v>-30.4701089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4">
      <c r="A47" s="4" t="s">
        <v>115</v>
      </c>
      <c r="C47" s="6">
        <f t="shared" ref="C47:J47" si="13">C23*IF(ISBLANK(C26),C12,C12+(C26-C12)*(2)/4)</f>
        <v>413.68753359374995</v>
      </c>
      <c r="D47" s="6">
        <f t="shared" si="13"/>
        <v>0</v>
      </c>
      <c r="E47" s="6">
        <f t="shared" si="13"/>
        <v>-525.35691615199994</v>
      </c>
      <c r="F47" s="6">
        <f t="shared" si="13"/>
        <v>-31.384212166999998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4">
      <c r="A48" s="4" t="s">
        <v>116</v>
      </c>
      <c r="C48" s="6">
        <f t="shared" ref="C48:J48" si="14">C24*IF(ISBLANK(C26),C12,C12+(C26-C12)*(3)/4)</f>
        <v>424.02972193359363</v>
      </c>
      <c r="D48" s="6">
        <f t="shared" si="14"/>
        <v>0</v>
      </c>
      <c r="E48" s="6">
        <f t="shared" si="14"/>
        <v>-484.15787378008002</v>
      </c>
      <c r="F48" s="6">
        <f t="shared" si="14"/>
        <v>-32.325738532009993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4">
      <c r="A49" s="4" t="s">
        <v>117</v>
      </c>
      <c r="C49" s="6">
        <f t="shared" ref="C49:J49" si="15">C25*IF(ISBLANK(C26),C12,C12+(C26-C12)*(4)/4)</f>
        <v>434.63046498193347</v>
      </c>
      <c r="D49" s="6">
        <f t="shared" si="15"/>
        <v>0</v>
      </c>
      <c r="E49" s="6">
        <f t="shared" si="15"/>
        <v>-440.01406764130792</v>
      </c>
      <c r="F49" s="6">
        <f t="shared" si="15"/>
        <v>-33.2955106879703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4">
      <c r="A51" s="4" t="s">
        <v>118</v>
      </c>
      <c r="C51" s="6">
        <f t="shared" ref="C51:J55" si="16">C39-C45</f>
        <v>4482.2301874999994</v>
      </c>
      <c r="D51" s="6">
        <f t="shared" si="16"/>
        <v>0</v>
      </c>
      <c r="E51" s="6">
        <f t="shared" si="16"/>
        <v>2506.8942287600003</v>
      </c>
      <c r="F51" s="6">
        <f t="shared" si="16"/>
        <v>98.662297139999993</v>
      </c>
      <c r="G51" s="6">
        <f t="shared" si="16"/>
        <v>0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4">
      <c r="A52" s="4" t="s">
        <v>119</v>
      </c>
      <c r="C52" s="6">
        <f t="shared" si="16"/>
        <v>4644.2647775468749</v>
      </c>
      <c r="D52" s="6">
        <f t="shared" si="16"/>
        <v>0</v>
      </c>
      <c r="E52" s="6">
        <f t="shared" si="16"/>
        <v>2560.8230267180998</v>
      </c>
      <c r="F52" s="6">
        <f t="shared" si="16"/>
        <v>128.30418748702499</v>
      </c>
      <c r="G52" s="6">
        <f t="shared" si="16"/>
        <v>0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4">
      <c r="A53" s="4" t="s">
        <v>120</v>
      </c>
      <c r="C53" s="6">
        <f t="shared" si="16"/>
        <v>4811.5997032289051</v>
      </c>
      <c r="D53" s="6">
        <f t="shared" si="16"/>
        <v>0</v>
      </c>
      <c r="E53" s="6">
        <f t="shared" si="16"/>
        <v>2615.7313477478024</v>
      </c>
      <c r="F53" s="6">
        <f t="shared" si="16"/>
        <v>159.63579518744547</v>
      </c>
      <c r="G53" s="6">
        <f t="shared" si="16"/>
        <v>0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4">
      <c r="A54" s="4" t="s">
        <v>121</v>
      </c>
      <c r="C54" s="6">
        <f t="shared" si="16"/>
        <v>4984.3987097090712</v>
      </c>
      <c r="D54" s="6">
        <f t="shared" si="16"/>
        <v>0</v>
      </c>
      <c r="E54" s="6">
        <f t="shared" si="16"/>
        <v>2671.6294273152398</v>
      </c>
      <c r="F54" s="6">
        <f t="shared" si="16"/>
        <v>192.73182558115286</v>
      </c>
      <c r="G54" s="6">
        <f t="shared" si="16"/>
        <v>0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4">
      <c r="A55" s="4" t="s">
        <v>122</v>
      </c>
      <c r="C55" s="6">
        <f t="shared" si="16"/>
        <v>5162.8304166987273</v>
      </c>
      <c r="D55" s="6">
        <f t="shared" si="16"/>
        <v>0</v>
      </c>
      <c r="E55" s="6">
        <f t="shared" si="16"/>
        <v>2728.5272334437504</v>
      </c>
      <c r="F55" s="6">
        <f t="shared" si="16"/>
        <v>227.66994558281405</v>
      </c>
      <c r="G55" s="6">
        <f t="shared" si="16"/>
        <v>0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4">
      <c r="A57" s="4" t="s">
        <v>123</v>
      </c>
      <c r="C57" s="6">
        <f t="shared" ref="C57:J57" si="17">C51/((1+C16))</f>
        <v>4228.1077160722434</v>
      </c>
      <c r="D57" s="6">
        <f t="shared" si="17"/>
        <v>0</v>
      </c>
      <c r="E57" s="6">
        <f t="shared" si="17"/>
        <v>2358.5671556831203</v>
      </c>
      <c r="F57" s="6">
        <f t="shared" si="17"/>
        <v>91.627021313272053</v>
      </c>
      <c r="G57" s="6">
        <f t="shared" si="17"/>
        <v>0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4">
      <c r="A58" s="4" t="s">
        <v>124</v>
      </c>
      <c r="C58" s="6">
        <f t="shared" ref="C58:J58" si="18">C52/((1+C16)*(1+C16+(C104-C16)*1/5))</f>
        <v>4120.8355959903784</v>
      </c>
      <c r="D58" s="6">
        <f t="shared" si="18"/>
        <v>0</v>
      </c>
      <c r="E58" s="6">
        <f t="shared" si="18"/>
        <v>2260.2999266781567</v>
      </c>
      <c r="F58" s="6">
        <f t="shared" si="18"/>
        <v>110.69114204027719</v>
      </c>
      <c r="G58" s="6">
        <f t="shared" si="18"/>
        <v>0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4">
      <c r="A59" s="4" t="s">
        <v>125</v>
      </c>
      <c r="C59" s="6">
        <f t="shared" ref="C59:J59" si="19">C53/((1+C16)*(1+C16+(C104-C16)*1/5)*(1+C16+(C104-C16)*2/5))</f>
        <v>4004.4445463101879</v>
      </c>
      <c r="D59" s="6">
        <f t="shared" si="19"/>
        <v>0</v>
      </c>
      <c r="E59" s="6">
        <f t="shared" si="19"/>
        <v>2159.8294673320574</v>
      </c>
      <c r="F59" s="6">
        <f t="shared" si="19"/>
        <v>127.97625381951657</v>
      </c>
      <c r="G59" s="6">
        <f t="shared" si="19"/>
        <v>0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4">
      <c r="A60" s="4" t="s">
        <v>126</v>
      </c>
      <c r="C60" s="6">
        <f t="shared" ref="C60:J60" si="20">C54/((1+C16)*(1+C16+(C104-C16)*1/5)*(1+C16+(C104-C16)*2/5)*(1+C16+(C104-C16)*3/5))</f>
        <v>3879.9093581881871</v>
      </c>
      <c r="D60" s="6">
        <f t="shared" si="20"/>
        <v>0</v>
      </c>
      <c r="E60" s="6">
        <f t="shared" si="20"/>
        <v>2057.8390975338748</v>
      </c>
      <c r="F60" s="6">
        <f t="shared" si="20"/>
        <v>143.61739506349554</v>
      </c>
      <c r="G60" s="6">
        <f t="shared" si="20"/>
        <v>0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4">
      <c r="A61" s="4" t="s">
        <v>127</v>
      </c>
      <c r="C61" s="6">
        <f t="shared" ref="C61:J61" si="21">C55/((1+C16)*(1+C16+(C104-C16)*1/5)*(1+C16+(C104-C16)*2/5)*(1+C16+(C104-C16)*3/5)*(1+C16+(C104-C16)*4/5))</f>
        <v>3748.2424336263221</v>
      </c>
      <c r="D61" s="6">
        <f t="shared" si="21"/>
        <v>0</v>
      </c>
      <c r="E61" s="6">
        <f t="shared" si="21"/>
        <v>1954.9915700712265</v>
      </c>
      <c r="F61" s="6">
        <f t="shared" si="21"/>
        <v>157.73979397939388</v>
      </c>
      <c r="G61" s="6">
        <f t="shared" si="21"/>
        <v>0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4">
      <c r="A62" s="3" t="s">
        <v>128</v>
      </c>
    </row>
    <row r="63" spans="1:10" x14ac:dyDescent="0.4">
      <c r="A63" s="4" t="s">
        <v>129</v>
      </c>
      <c r="C63" s="6">
        <f t="shared" ref="C63:J63" si="22">C25*(1+(C6+(C13-C6)*1/5))</f>
        <v>29670.773076099991</v>
      </c>
      <c r="D63" s="6">
        <f t="shared" si="22"/>
        <v>0</v>
      </c>
      <c r="E63" s="6">
        <f t="shared" si="22"/>
        <v>15077.81538450882</v>
      </c>
      <c r="F63" s="6">
        <f t="shared" si="22"/>
        <v>4889.683569604781</v>
      </c>
      <c r="G63" s="6">
        <f t="shared" si="22"/>
        <v>0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4">
      <c r="A64" s="4" t="s">
        <v>130</v>
      </c>
      <c r="C64" s="6">
        <f t="shared" ref="C64:J64" si="23">C63*(1+(C6+(C13-C6)*2/5))</f>
        <v>30353.20085685029</v>
      </c>
      <c r="D64" s="6">
        <f t="shared" si="23"/>
        <v>0</v>
      </c>
      <c r="E64" s="6">
        <f t="shared" si="23"/>
        <v>15469.838584506049</v>
      </c>
      <c r="F64" s="6">
        <f t="shared" si="23"/>
        <v>5016.8153424145057</v>
      </c>
      <c r="G64" s="6">
        <f t="shared" si="23"/>
        <v>0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4">
      <c r="A65" s="4" t="s">
        <v>131</v>
      </c>
      <c r="C65" s="6">
        <f t="shared" ref="C65:J65" si="24">C64*(1+(C6+(C13-C6)*3/5))</f>
        <v>31020.971275700998</v>
      </c>
      <c r="D65" s="6">
        <f t="shared" si="24"/>
        <v>0</v>
      </c>
      <c r="E65" s="6">
        <f t="shared" si="24"/>
        <v>15841.114710534195</v>
      </c>
      <c r="F65" s="6">
        <f t="shared" si="24"/>
        <v>5137.218910632454</v>
      </c>
      <c r="G65" s="6">
        <f t="shared" si="24"/>
        <v>0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4">
      <c r="A66" s="4" t="s">
        <v>132</v>
      </c>
      <c r="C66" s="6">
        <f t="shared" ref="C66:J66" si="25">C65*(1+(C6+(C13-C6)*4/5))</f>
        <v>31672.411672490718</v>
      </c>
      <c r="D66" s="6">
        <f t="shared" si="25"/>
        <v>0</v>
      </c>
      <c r="E66" s="6">
        <f t="shared" si="25"/>
        <v>16189.619234165948</v>
      </c>
      <c r="F66" s="6">
        <f t="shared" si="25"/>
        <v>5250.237726666368</v>
      </c>
      <c r="G66" s="6">
        <f t="shared" si="25"/>
        <v>0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4">
      <c r="A67" s="4" t="s">
        <v>133</v>
      </c>
      <c r="C67" s="6">
        <f t="shared" ref="C67:J67" si="26">C66*(1+(C6+(C13-C6)*5/5))</f>
        <v>32305.859905940531</v>
      </c>
      <c r="D67" s="6">
        <f t="shared" si="26"/>
        <v>0</v>
      </c>
      <c r="E67" s="6">
        <f t="shared" si="26"/>
        <v>16513.411618849266</v>
      </c>
      <c r="F67" s="6">
        <f t="shared" si="26"/>
        <v>5355.2424811996952</v>
      </c>
      <c r="G67" s="6">
        <f t="shared" si="26"/>
        <v>0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4">
      <c r="A69" s="4" t="s">
        <v>134</v>
      </c>
      <c r="C69" s="11">
        <f t="shared" ref="C69:J69" si="27">IF(ISBLANK(C9),C7,C9)</f>
        <v>0.26</v>
      </c>
      <c r="D69" s="11">
        <f t="shared" si="27"/>
        <v>0</v>
      </c>
      <c r="E69" s="11">
        <f t="shared" si="27"/>
        <v>0.21</v>
      </c>
      <c r="F69" s="11">
        <f t="shared" si="27"/>
        <v>5.5E-2</v>
      </c>
      <c r="G69" s="11">
        <f t="shared" si="27"/>
        <v>0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4">
      <c r="A70" s="4" t="s">
        <v>135</v>
      </c>
      <c r="C70" s="11">
        <f t="shared" ref="C70:J70" si="28">IF(ISBLANK(C9),C7,C9)</f>
        <v>0.26</v>
      </c>
      <c r="D70" s="11">
        <f t="shared" si="28"/>
        <v>0</v>
      </c>
      <c r="E70" s="11">
        <f t="shared" si="28"/>
        <v>0.21</v>
      </c>
      <c r="F70" s="11">
        <f t="shared" si="28"/>
        <v>5.5E-2</v>
      </c>
      <c r="G70" s="11">
        <f t="shared" si="28"/>
        <v>0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4">
      <c r="A71" s="4" t="s">
        <v>136</v>
      </c>
      <c r="C71" s="11">
        <f t="shared" ref="C71:J71" si="29">IF(ISBLANK(C9),C7,C9)</f>
        <v>0.26</v>
      </c>
      <c r="D71" s="11">
        <f t="shared" si="29"/>
        <v>0</v>
      </c>
      <c r="E71" s="11">
        <f t="shared" si="29"/>
        <v>0.21</v>
      </c>
      <c r="F71" s="11">
        <f t="shared" si="29"/>
        <v>5.5E-2</v>
      </c>
      <c r="G71" s="11">
        <f t="shared" si="29"/>
        <v>0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4">
      <c r="A72" s="4" t="s">
        <v>137</v>
      </c>
      <c r="C72" s="11">
        <f t="shared" ref="C72:J72" si="30">IF(ISBLANK(C9),C7,C9)</f>
        <v>0.26</v>
      </c>
      <c r="D72" s="11">
        <f t="shared" si="30"/>
        <v>0</v>
      </c>
      <c r="E72" s="11">
        <f t="shared" si="30"/>
        <v>0.21</v>
      </c>
      <c r="F72" s="11">
        <f t="shared" si="30"/>
        <v>5.5E-2</v>
      </c>
      <c r="G72" s="11">
        <f t="shared" si="30"/>
        <v>0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4">
      <c r="A73" s="4" t="s">
        <v>138</v>
      </c>
      <c r="C73" s="11">
        <f t="shared" ref="C73:J73" si="31">IF(ISBLANK(C9),C7,C9)</f>
        <v>0.26</v>
      </c>
      <c r="D73" s="11">
        <f t="shared" si="31"/>
        <v>0</v>
      </c>
      <c r="E73" s="11">
        <f t="shared" si="31"/>
        <v>0.21</v>
      </c>
      <c r="F73" s="11">
        <f t="shared" si="31"/>
        <v>5.5E-2</v>
      </c>
      <c r="G73" s="11">
        <f t="shared" si="31"/>
        <v>0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4">
      <c r="A75" s="4" t="s">
        <v>139</v>
      </c>
      <c r="C75" s="6">
        <f t="shared" ref="C75:J79" si="32">C63*C69</f>
        <v>7714.4009997859976</v>
      </c>
      <c r="D75" s="6">
        <f t="shared" si="32"/>
        <v>0</v>
      </c>
      <c r="E75" s="6">
        <f t="shared" si="32"/>
        <v>3166.341230746852</v>
      </c>
      <c r="F75" s="6">
        <f t="shared" si="32"/>
        <v>268.93259632826295</v>
      </c>
      <c r="G75" s="6">
        <f t="shared" si="32"/>
        <v>0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4">
      <c r="A76" s="4" t="s">
        <v>140</v>
      </c>
      <c r="C76" s="6">
        <f t="shared" si="32"/>
        <v>7891.8322227810759</v>
      </c>
      <c r="D76" s="6">
        <f t="shared" si="32"/>
        <v>0</v>
      </c>
      <c r="E76" s="6">
        <f t="shared" si="32"/>
        <v>3248.6661027462701</v>
      </c>
      <c r="F76" s="6">
        <f t="shared" si="32"/>
        <v>275.92484383279782</v>
      </c>
      <c r="G76" s="6">
        <f t="shared" si="32"/>
        <v>0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4">
      <c r="A77" s="4" t="s">
        <v>141</v>
      </c>
      <c r="C77" s="6">
        <f t="shared" si="32"/>
        <v>8065.4525316822601</v>
      </c>
      <c r="D77" s="6">
        <f t="shared" si="32"/>
        <v>0</v>
      </c>
      <c r="E77" s="6">
        <f t="shared" si="32"/>
        <v>3326.6340892121807</v>
      </c>
      <c r="F77" s="6">
        <f t="shared" si="32"/>
        <v>282.54704008478495</v>
      </c>
      <c r="G77" s="6">
        <f t="shared" si="32"/>
        <v>0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4">
      <c r="A78" s="4" t="s">
        <v>142</v>
      </c>
      <c r="C78" s="6">
        <f t="shared" si="32"/>
        <v>8234.8270348475871</v>
      </c>
      <c r="D78" s="6">
        <f t="shared" si="32"/>
        <v>0</v>
      </c>
      <c r="E78" s="6">
        <f t="shared" si="32"/>
        <v>3399.8200391748492</v>
      </c>
      <c r="F78" s="6">
        <f t="shared" si="32"/>
        <v>288.76307496665027</v>
      </c>
      <c r="G78" s="6">
        <f t="shared" si="32"/>
        <v>0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4">
      <c r="A79" s="4" t="s">
        <v>143</v>
      </c>
      <c r="C79" s="6">
        <f t="shared" si="32"/>
        <v>8399.5235755445392</v>
      </c>
      <c r="D79" s="6">
        <f t="shared" si="32"/>
        <v>0</v>
      </c>
      <c r="E79" s="6">
        <f t="shared" si="32"/>
        <v>3467.8164399583457</v>
      </c>
      <c r="F79" s="6">
        <f t="shared" si="32"/>
        <v>294.53833646598326</v>
      </c>
      <c r="G79" s="6">
        <f t="shared" si="32"/>
        <v>0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4">
      <c r="A81" s="4" t="s">
        <v>144</v>
      </c>
      <c r="C81" s="6">
        <f>C75*(1-Inputs!B22)</f>
        <v>5731.7999428409958</v>
      </c>
      <c r="D81" s="6">
        <f>D75*(1-Inputs!B22)</f>
        <v>0</v>
      </c>
      <c r="E81" s="6">
        <f>E75*(1-Inputs!B22)</f>
        <v>2352.5915344449108</v>
      </c>
      <c r="F81" s="6">
        <f>F75*(1-Inputs!B22)</f>
        <v>199.81691907189938</v>
      </c>
      <c r="G81" s="6">
        <f>G75*(1-Inputs!B22)</f>
        <v>0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4">
      <c r="A82" s="4" t="s">
        <v>145</v>
      </c>
      <c r="C82" s="6">
        <f>C76*(1-Inputs!B22)</f>
        <v>5863.6313415263394</v>
      </c>
      <c r="D82" s="6">
        <f>D76*(1-Inputs!B22)</f>
        <v>0</v>
      </c>
      <c r="E82" s="6">
        <f>E76*(1-Inputs!B22)</f>
        <v>2413.7589143404784</v>
      </c>
      <c r="F82" s="6">
        <f>F76*(1-Inputs!B22)</f>
        <v>205.01215896776878</v>
      </c>
      <c r="G82" s="6">
        <f>G76*(1-Inputs!B22)</f>
        <v>0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4">
      <c r="A83" s="4" t="s">
        <v>146</v>
      </c>
      <c r="C83" s="6">
        <f>C77*(1-Inputs!B22)</f>
        <v>5992.6312310399189</v>
      </c>
      <c r="D83" s="6">
        <f>D77*(1-Inputs!B22)</f>
        <v>0</v>
      </c>
      <c r="E83" s="6">
        <f>E77*(1-Inputs!B22)</f>
        <v>2471.6891282846505</v>
      </c>
      <c r="F83" s="6">
        <f>F77*(1-Inputs!B22)</f>
        <v>209.93245078299523</v>
      </c>
      <c r="G83" s="6">
        <f>G77*(1-Inputs!B22)</f>
        <v>0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4">
      <c r="A84" s="4" t="s">
        <v>147</v>
      </c>
      <c r="C84" s="6">
        <f>C78*(1-Inputs!B22)</f>
        <v>6118.4764868917573</v>
      </c>
      <c r="D84" s="6">
        <f>D78*(1-Inputs!B22)</f>
        <v>0</v>
      </c>
      <c r="E84" s="6">
        <f>E78*(1-Inputs!B22)</f>
        <v>2526.0662891069128</v>
      </c>
      <c r="F84" s="6">
        <f>F78*(1-Inputs!B22)</f>
        <v>214.55096470022116</v>
      </c>
      <c r="G84" s="6">
        <f>G78*(1-Inputs!B22)</f>
        <v>0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4">
      <c r="A85" s="4" t="s">
        <v>148</v>
      </c>
      <c r="C85" s="6">
        <f>C79*(1-Inputs!B22)</f>
        <v>6240.8460166295927</v>
      </c>
      <c r="D85" s="6">
        <f>D79*(1-Inputs!B22)</f>
        <v>0</v>
      </c>
      <c r="E85" s="6">
        <f>E79*(1-Inputs!B22)</f>
        <v>2576.5876148890507</v>
      </c>
      <c r="F85" s="6">
        <f>F79*(1-Inputs!B22)</f>
        <v>218.84198399422556</v>
      </c>
      <c r="G85" s="6">
        <f>G79*(1-Inputs!B22)</f>
        <v>0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4">
      <c r="A87" s="4" t="s">
        <v>149</v>
      </c>
      <c r="C87" s="6">
        <f t="shared" ref="C87:J87" si="33">C63*MAX(IF(ISBLANK(C26),C12,C26),0)</f>
        <v>445.06159614149988</v>
      </c>
      <c r="D87" s="6">
        <f t="shared" si="33"/>
        <v>0</v>
      </c>
      <c r="E87" s="6">
        <f t="shared" si="33"/>
        <v>0</v>
      </c>
      <c r="F87" s="6">
        <f t="shared" si="33"/>
        <v>0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4">
      <c r="A88" s="4" t="s">
        <v>150</v>
      </c>
      <c r="C88" s="6">
        <f t="shared" ref="C88:J88" si="34">C64*MAX(IF(ISBLANK(C26),C12,C26),0)</f>
        <v>455.29801285275431</v>
      </c>
      <c r="D88" s="6">
        <f t="shared" si="34"/>
        <v>0</v>
      </c>
      <c r="E88" s="6">
        <f t="shared" si="34"/>
        <v>0</v>
      </c>
      <c r="F88" s="6">
        <f t="shared" si="34"/>
        <v>0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4">
      <c r="A89" s="4" t="s">
        <v>151</v>
      </c>
      <c r="C89" s="6">
        <f t="shared" ref="C89:J89" si="35">C65*MAX(IF(ISBLANK(C26),C12,C26),0)</f>
        <v>465.31456913551494</v>
      </c>
      <c r="D89" s="6">
        <f t="shared" si="35"/>
        <v>0</v>
      </c>
      <c r="E89" s="6">
        <f t="shared" si="35"/>
        <v>0</v>
      </c>
      <c r="F89" s="6">
        <f t="shared" si="35"/>
        <v>0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4">
      <c r="A90" s="4" t="s">
        <v>152</v>
      </c>
      <c r="C90" s="6">
        <f t="shared" ref="C90:J90" si="36">C66*MAX(IF(ISBLANK(C26),C12,C26),0)</f>
        <v>475.08617508736074</v>
      </c>
      <c r="D90" s="6">
        <f t="shared" si="36"/>
        <v>0</v>
      </c>
      <c r="E90" s="6">
        <f t="shared" si="36"/>
        <v>0</v>
      </c>
      <c r="F90" s="6">
        <f t="shared" si="36"/>
        <v>0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4">
      <c r="A91" s="4" t="s">
        <v>153</v>
      </c>
      <c r="C91" s="6">
        <f t="shared" ref="C91:J91" si="37">C67*MAX(IF(ISBLANK(C26),C12,C26),0)</f>
        <v>484.58789858910797</v>
      </c>
      <c r="D91" s="6">
        <f t="shared" si="37"/>
        <v>0</v>
      </c>
      <c r="E91" s="6">
        <f t="shared" si="37"/>
        <v>0</v>
      </c>
      <c r="F91" s="6">
        <f t="shared" si="37"/>
        <v>0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4">
      <c r="A93" s="4" t="s">
        <v>154</v>
      </c>
      <c r="C93" s="6">
        <f t="shared" ref="C93:J97" si="38">C81-C87</f>
        <v>5286.7383466994961</v>
      </c>
      <c r="D93" s="6">
        <f t="shared" si="38"/>
        <v>0</v>
      </c>
      <c r="E93" s="6">
        <f t="shared" si="38"/>
        <v>2352.5915344449108</v>
      </c>
      <c r="F93" s="6">
        <f t="shared" si="38"/>
        <v>199.81691907189938</v>
      </c>
      <c r="G93" s="6">
        <f t="shared" si="38"/>
        <v>0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4">
      <c r="A94" s="4" t="s">
        <v>155</v>
      </c>
      <c r="C94" s="6">
        <f t="shared" si="38"/>
        <v>5408.3333286735851</v>
      </c>
      <c r="D94" s="6">
        <f t="shared" si="38"/>
        <v>0</v>
      </c>
      <c r="E94" s="6">
        <f t="shared" si="38"/>
        <v>2413.7589143404784</v>
      </c>
      <c r="F94" s="6">
        <f t="shared" si="38"/>
        <v>205.01215896776878</v>
      </c>
      <c r="G94" s="6">
        <f t="shared" si="38"/>
        <v>0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4">
      <c r="A95" s="4" t="s">
        <v>156</v>
      </c>
      <c r="C95" s="6">
        <f t="shared" si="38"/>
        <v>5527.3166619044041</v>
      </c>
      <c r="D95" s="6">
        <f t="shared" si="38"/>
        <v>0</v>
      </c>
      <c r="E95" s="6">
        <f t="shared" si="38"/>
        <v>2471.6891282846505</v>
      </c>
      <c r="F95" s="6">
        <f t="shared" si="38"/>
        <v>209.93245078299523</v>
      </c>
      <c r="G95" s="6">
        <f t="shared" si="38"/>
        <v>0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4">
      <c r="A96" s="4" t="s">
        <v>157</v>
      </c>
      <c r="C96" s="6">
        <f t="shared" si="38"/>
        <v>5643.3903118043963</v>
      </c>
      <c r="D96" s="6">
        <f t="shared" si="38"/>
        <v>0</v>
      </c>
      <c r="E96" s="6">
        <f t="shared" si="38"/>
        <v>2526.0662891069128</v>
      </c>
      <c r="F96" s="6">
        <f t="shared" si="38"/>
        <v>214.55096470022116</v>
      </c>
      <c r="G96" s="6">
        <f t="shared" si="38"/>
        <v>0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4">
      <c r="A97" s="4" t="s">
        <v>158</v>
      </c>
      <c r="C97" s="6">
        <f t="shared" si="38"/>
        <v>5756.258118040485</v>
      </c>
      <c r="D97" s="6">
        <f t="shared" si="38"/>
        <v>0</v>
      </c>
      <c r="E97" s="6">
        <f t="shared" si="38"/>
        <v>2576.5876148890507</v>
      </c>
      <c r="F97" s="6">
        <f t="shared" si="38"/>
        <v>218.84198399422556</v>
      </c>
      <c r="G97" s="6">
        <f t="shared" si="38"/>
        <v>0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4">
      <c r="A99" s="4" t="s">
        <v>159</v>
      </c>
      <c r="C99" s="6">
        <f t="shared" ref="C99:J99" si="39">C93/(((1+C16)*(1+C16+(C104-C16)*1/5)*(1+C16+(C104-C16)*2/5)*(1+C16+(C104-C16)*3/5)*(1+C16+(C104-C16)*4/5))*(1+C104)^1)</f>
        <v>3569.7440715047283</v>
      </c>
      <c r="D99" s="6">
        <f t="shared" si="39"/>
        <v>0</v>
      </c>
      <c r="E99" s="6">
        <f t="shared" si="39"/>
        <v>1563.5814724640265</v>
      </c>
      <c r="F99" s="6">
        <f t="shared" si="39"/>
        <v>128.7589051925201</v>
      </c>
      <c r="G99" s="6">
        <f t="shared" si="39"/>
        <v>0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4">
      <c r="A100" s="4" t="s">
        <v>160</v>
      </c>
      <c r="C100" s="6">
        <f t="shared" ref="C100:J100" si="40">C94/(((1+C16)*(1+C16+(C104-C16)*1/5)*(1+C16+(C104-C16)*2/5)*(1+C16+(C104-C16)*3/5)*(1+C16+(C104-C16)*4/5))*(1+C104)^2)</f>
        <v>3396.4260728882018</v>
      </c>
      <c r="D100" s="6">
        <f t="shared" si="40"/>
        <v>0</v>
      </c>
      <c r="E100" s="6">
        <f t="shared" si="40"/>
        <v>1488.0765262487139</v>
      </c>
      <c r="F100" s="6">
        <f t="shared" si="40"/>
        <v>122.86666987077658</v>
      </c>
      <c r="G100" s="6">
        <f t="shared" si="40"/>
        <v>0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4">
      <c r="A101" s="4" t="s">
        <v>161</v>
      </c>
      <c r="C101" s="6">
        <f t="shared" ref="C101:J101" si="41">C95/(((1+C16)*(1+C16+(C104-C16)*1/5)*(1+C16+(C104-C16)*2/5)*(1+C16+(C104-C16)*3/5)*(1+C16+(C104-C16)*4/5))*(1+C104)^3)</f>
        <v>3228.364130263466</v>
      </c>
      <c r="D101" s="6">
        <f t="shared" si="41"/>
        <v>0</v>
      </c>
      <c r="E101" s="6">
        <f t="shared" si="41"/>
        <v>1413.4570361473031</v>
      </c>
      <c r="F101" s="6">
        <f t="shared" si="41"/>
        <v>117.01552771024936</v>
      </c>
      <c r="G101" s="6">
        <f t="shared" si="41"/>
        <v>0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4">
      <c r="A102" s="4" t="s">
        <v>162</v>
      </c>
      <c r="C102" s="6">
        <f t="shared" ref="C102:J102" si="42">C96/(((1+C16)*(1+C16+(C104-C16)*1/5)*(1+C16+(C104-C16)*2/5)*(1+C16+(C104-C16)*3/5)*(1+C16+(C104-C16)*4/5))*(1+C104)^4)</f>
        <v>3065.6156662073704</v>
      </c>
      <c r="D102" s="6">
        <f t="shared" si="42"/>
        <v>0</v>
      </c>
      <c r="E102" s="6">
        <f t="shared" si="42"/>
        <v>1339.9571097324447</v>
      </c>
      <c r="F102" s="6">
        <f t="shared" si="42"/>
        <v>111.22536579233667</v>
      </c>
      <c r="G102" s="6">
        <f t="shared" si="42"/>
        <v>0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4">
      <c r="A103" s="4" t="s">
        <v>163</v>
      </c>
      <c r="C103" s="6">
        <f t="shared" ref="C103:J103" si="43">C97/(((1+C16)*(1+C16+(C104-C16)*1/5)*(1+C16+(C104-C16)*2/5)*(1+C16+(C104-C16)*3/5)*(1+C16+(C104-C16)*4/5))*(1+C104)^5)</f>
        <v>2908.2204898093719</v>
      </c>
      <c r="D103" s="6">
        <f t="shared" si="43"/>
        <v>0</v>
      </c>
      <c r="E103" s="6">
        <f t="shared" si="43"/>
        <v>1267.793318586876</v>
      </c>
      <c r="F103" s="6">
        <f t="shared" si="43"/>
        <v>105.51482083988516</v>
      </c>
      <c r="G103" s="6">
        <f t="shared" si="43"/>
        <v>0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4" spans="1:11" x14ac:dyDescent="0.4">
      <c r="A104" s="4" t="s">
        <v>164</v>
      </c>
      <c r="C104" s="11">
        <f>MAX((Inputs!B18+((1+(1-Inputs!B22)*(Inputs!B36/(1-Inputs!B36)))/(1+(1-Inputs!B22)*0.25))*Inputs!B19+IF(ISBLANK(C17),Inputs!B24,C17)+Inputs!B25+Inputs!B39)*(1-Inputs!B36)+Inputs!B38*Inputs!B36,C15)</f>
        <v>7.5203200888142155E-2</v>
      </c>
      <c r="D104" s="11">
        <f>MAX((Inputs!B18+((1+(1-Inputs!B22)*(Inputs!B36/(1-Inputs!B36)))/(1+(1-Inputs!B22)*0.25))*Inputs!B19+IF(ISBLANK(D17),Inputs!B24,D17)+Inputs!B25+Inputs!B39)*(1-Inputs!B36)+Inputs!B38*Inputs!B36,D15)</f>
        <v>7.5203200888142155E-2</v>
      </c>
      <c r="E104" s="11">
        <f>MAX((Inputs!B18+((1+(1-Inputs!B22)*(Inputs!B36/(1-Inputs!B36)))/(1+(1-Inputs!B22)*0.25))*Inputs!B19+IF(ISBLANK(E17),Inputs!B24,E17)+Inputs!B25+Inputs!B39)*(1-Inputs!B36)+Inputs!B38*Inputs!B36,E15)</f>
        <v>7.8059200888142152E-2</v>
      </c>
      <c r="F104" s="11">
        <f>MAX((Inputs!B18+((1+(1-Inputs!B22)*(Inputs!B36/(1-Inputs!B36)))/(1+(1-Inputs!B22)*0.25))*Inputs!B19+IF(ISBLANK(F17),Inputs!B24,F17)+Inputs!B25+Inputs!B39)*(1-Inputs!B36)+Inputs!B38*Inputs!B36,F15)</f>
        <v>7.5203200888142155E-2</v>
      </c>
      <c r="G104" s="11">
        <f>MAX((Inputs!B18+((1+(1-Inputs!B22)*(Inputs!B36/(1-Inputs!B36)))/(1+(1-Inputs!B22)*0.25))*Inputs!B19+IF(ISBLANK(G17),Inputs!B24,G17)+Inputs!B25+Inputs!B39)*(1-Inputs!B36)+Inputs!B38*Inputs!B36,G15)</f>
        <v>7.5203200888142155E-2</v>
      </c>
      <c r="H104" s="11">
        <f>MAX((Inputs!B18+((1+(1-Inputs!B22)*(Inputs!B36/(1-Inputs!B36)))/(1+(1-Inputs!B22)*0.25))*Inputs!B19+IF(ISBLANK(H17),Inputs!B24,H17)+Inputs!B25+Inputs!B39)*(1-Inputs!B36)+Inputs!B38*Inputs!B36,H15)</f>
        <v>7.5203200888142155E-2</v>
      </c>
      <c r="I104" s="11">
        <f>MAX((Inputs!B18+((1+(1-Inputs!B22)*(Inputs!B36/(1-Inputs!B36)))/(1+(1-Inputs!B22)*0.25))*Inputs!B19+IF(ISBLANK(I17),Inputs!B24,I17)+Inputs!B25+Inputs!B39)*(1-Inputs!B36)+Inputs!B38*Inputs!B36,I15)</f>
        <v>7.5203200888142155E-2</v>
      </c>
      <c r="J104" s="11">
        <f>MAX((Inputs!B18+((1+(1-Inputs!B22)*(Inputs!B36/(1-Inputs!B36)))/(1+(1-Inputs!B22)*0.25))*Inputs!B19+IF(ISBLANK(J17),Inputs!B24,J17)+Inputs!B25+Inputs!B39)*(1-Inputs!B36)+Inputs!B38*Inputs!B36,J15)</f>
        <v>7.5203200888142155E-2</v>
      </c>
    </row>
    <row r="105" spans="1:11" x14ac:dyDescent="0.4">
      <c r="A105" s="4" t="s">
        <v>165</v>
      </c>
      <c r="C105" s="6">
        <f t="shared" ref="C105:J105" si="44">SUM(C57:C61,C99:C103)</f>
        <v>36149.910080860449</v>
      </c>
      <c r="D105" s="6">
        <f t="shared" si="44"/>
        <v>0</v>
      </c>
      <c r="E105" s="6">
        <f t="shared" si="44"/>
        <v>17864.392680477802</v>
      </c>
      <c r="F105" s="6">
        <f t="shared" si="44"/>
        <v>1217.0328956217231</v>
      </c>
      <c r="G105" s="6">
        <f t="shared" si="44"/>
        <v>0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4">
      <c r="A106" s="4" t="s">
        <v>166</v>
      </c>
      <c r="C106" s="6">
        <f t="shared" ref="C106:J106" si="45">IF(C5=0,0,C97*(1+C13)/(C104-C13))</f>
        <v>106359.47165995747</v>
      </c>
      <c r="D106" s="6">
        <f t="shared" si="45"/>
        <v>0</v>
      </c>
      <c r="E106" s="6">
        <f t="shared" si="45"/>
        <v>45266.199447874103</v>
      </c>
      <c r="F106" s="6">
        <f t="shared" si="45"/>
        <v>4043.5847936864525</v>
      </c>
      <c r="G106" s="6">
        <f t="shared" si="45"/>
        <v>0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4">
      <c r="A107" s="4" t="s">
        <v>167</v>
      </c>
      <c r="C107" s="6">
        <f t="shared" ref="C107:J107" si="46">C106/(((1+C16)*(1+C16+(C104-C16)*1/5)*(1+C16+(C104-C16)*2/5)*(1+C16+(C104-C16)*3/5)*(1+C16+(C104-C16)*4/5))*(1+C104)^5)</f>
        <v>53735.740896915086</v>
      </c>
      <c r="D107" s="6">
        <f t="shared" si="46"/>
        <v>0</v>
      </c>
      <c r="E107" s="6">
        <f t="shared" si="46"/>
        <v>22272.941500693694</v>
      </c>
      <c r="F107" s="6">
        <f t="shared" si="46"/>
        <v>1949.6173324217716</v>
      </c>
      <c r="G107" s="6">
        <f t="shared" si="46"/>
        <v>0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4">
      <c r="A109" s="19" t="s">
        <v>168</v>
      </c>
      <c r="C109" s="20">
        <f t="shared" ref="C109:J109" si="47">C105+C107</f>
        <v>89885.650977775542</v>
      </c>
      <c r="D109" s="20">
        <f t="shared" si="47"/>
        <v>0</v>
      </c>
      <c r="E109" s="20">
        <f t="shared" si="47"/>
        <v>40137.334181171493</v>
      </c>
      <c r="F109" s="20">
        <f t="shared" si="47"/>
        <v>3166.6502280434947</v>
      </c>
      <c r="G109" s="20">
        <f t="shared" si="47"/>
        <v>0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133189.63538699053</v>
      </c>
    </row>
    <row r="110" spans="1:11" x14ac:dyDescent="0.4">
      <c r="A110" s="4" t="s">
        <v>169</v>
      </c>
      <c r="K110" s="11">
        <f>IFERROR(SUMPRODUCT(C109:J109,C16:J16)/SUM(C109:J109),0)</f>
        <v>6.1339090661336491E-2</v>
      </c>
    </row>
    <row r="111" spans="1:11" x14ac:dyDescent="0.4">
      <c r="A111" s="4" t="s">
        <v>170</v>
      </c>
      <c r="K111" s="5">
        <f>96116-SUM(B135:J135)</f>
        <v>25217.049499999994</v>
      </c>
    </row>
    <row r="112" spans="1:11" x14ac:dyDescent="0.4">
      <c r="A112" s="4" t="s">
        <v>171</v>
      </c>
      <c r="K112" s="5">
        <v>2500</v>
      </c>
    </row>
    <row r="113" spans="1:11" x14ac:dyDescent="0.4">
      <c r="A113" s="4" t="s">
        <v>172</v>
      </c>
      <c r="K113" s="5">
        <v>-25709.349145128381</v>
      </c>
    </row>
    <row r="114" spans="1:11" x14ac:dyDescent="0.4">
      <c r="A114" s="4" t="s">
        <v>173</v>
      </c>
      <c r="K114" s="5">
        <f>0+SUM(B134:J134)</f>
        <v>99728.544483539998</v>
      </c>
    </row>
    <row r="115" spans="1:11" x14ac:dyDescent="0.4">
      <c r="A115" s="4" t="s">
        <v>174</v>
      </c>
      <c r="K115" s="5">
        <v>0</v>
      </c>
    </row>
    <row r="116" spans="1:11" x14ac:dyDescent="0.4">
      <c r="A116" s="4" t="s">
        <v>175</v>
      </c>
      <c r="K116" s="5">
        <v>-163.75</v>
      </c>
    </row>
    <row r="117" spans="1:11" x14ac:dyDescent="0.4">
      <c r="A117" s="4" t="s">
        <v>176</v>
      </c>
      <c r="K117" s="5">
        <v>0</v>
      </c>
    </row>
    <row r="118" spans="1:11" x14ac:dyDescent="0.4">
      <c r="A118" s="4" t="s">
        <v>177</v>
      </c>
      <c r="K118" s="5">
        <v>0</v>
      </c>
    </row>
    <row r="119" spans="1:11" x14ac:dyDescent="0.4">
      <c r="A119" s="4" t="s">
        <v>178</v>
      </c>
      <c r="K119" s="20">
        <f>K109+K113+K114+K115+K116+K117+K118-K111-K112</f>
        <v>179328.03122540217</v>
      </c>
    </row>
    <row r="120" spans="1:11" x14ac:dyDescent="0.4">
      <c r="A120" s="4" t="s">
        <v>179</v>
      </c>
      <c r="K120" s="6">
        <f>Inputs!B11</f>
        <v>4871</v>
      </c>
    </row>
    <row r="122" spans="1:11" ht="15.9" customHeight="1" x14ac:dyDescent="0.45">
      <c r="A122" s="4" t="s">
        <v>180</v>
      </c>
      <c r="K122" s="21">
        <f>K119/K120</f>
        <v>36.81544471882615</v>
      </c>
    </row>
    <row r="124" spans="1:11" x14ac:dyDescent="0.4">
      <c r="A124" t="s">
        <v>181</v>
      </c>
    </row>
    <row r="125" spans="1:11" x14ac:dyDescent="0.4">
      <c r="A125" t="s">
        <v>182</v>
      </c>
      <c r="B125" t="s">
        <v>183</v>
      </c>
    </row>
    <row r="126" spans="1:11" x14ac:dyDescent="0.4">
      <c r="A126" t="s">
        <v>184</v>
      </c>
      <c r="B126" t="s">
        <v>185</v>
      </c>
    </row>
    <row r="127" spans="1:11" x14ac:dyDescent="0.4">
      <c r="A127" t="s">
        <v>186</v>
      </c>
      <c r="B127" t="s">
        <v>187</v>
      </c>
    </row>
    <row r="128" spans="1:11" x14ac:dyDescent="0.4">
      <c r="A128" t="s">
        <v>188</v>
      </c>
      <c r="B128">
        <v>0.86870000000000003</v>
      </c>
    </row>
    <row r="129" spans="1:2" x14ac:dyDescent="0.4">
      <c r="A129" t="s">
        <v>189</v>
      </c>
      <c r="B129">
        <v>304965.3</v>
      </c>
    </row>
    <row r="130" spans="1:2" x14ac:dyDescent="0.4">
      <c r="A130" t="s">
        <v>190</v>
      </c>
      <c r="B130">
        <v>81615</v>
      </c>
    </row>
    <row r="131" spans="1:2" x14ac:dyDescent="0.4">
      <c r="A131" t="s">
        <v>191</v>
      </c>
      <c r="B131">
        <f>B129-B130</f>
        <v>223350.3</v>
      </c>
    </row>
    <row r="132" spans="1:2" x14ac:dyDescent="0.4">
      <c r="A132" t="s">
        <v>192</v>
      </c>
      <c r="B132">
        <v>0.51400000000000001</v>
      </c>
    </row>
    <row r="133" spans="1:2" x14ac:dyDescent="0.4">
      <c r="A133" t="s">
        <v>193</v>
      </c>
      <c r="B133">
        <f>B131*B132</f>
        <v>114802.0542</v>
      </c>
    </row>
    <row r="134" spans="1:2" x14ac:dyDescent="0.4">
      <c r="A134" t="s">
        <v>194</v>
      </c>
      <c r="B134">
        <f>B133*B128*(1+B143)</f>
        <v>99728.544483539998</v>
      </c>
    </row>
    <row r="135" spans="1:2" x14ac:dyDescent="0.4">
      <c r="A135" t="s">
        <v>195</v>
      </c>
      <c r="B135">
        <f>B130*B128</f>
        <v>70898.950500000006</v>
      </c>
    </row>
    <row r="136" spans="1:2" x14ac:dyDescent="0.4">
      <c r="A136" t="s">
        <v>196</v>
      </c>
    </row>
    <row r="137" spans="1:2" x14ac:dyDescent="0.4">
      <c r="A137" t="s">
        <v>197</v>
      </c>
      <c r="B137" t="s">
        <v>198</v>
      </c>
    </row>
    <row r="138" spans="1:2" x14ac:dyDescent="0.4">
      <c r="A138" t="s">
        <v>199</v>
      </c>
      <c r="B138" t="s">
        <v>200</v>
      </c>
    </row>
    <row r="139" spans="1:2" x14ac:dyDescent="0.4">
      <c r="A139" t="s">
        <v>201</v>
      </c>
      <c r="B139" t="s">
        <v>202</v>
      </c>
    </row>
    <row r="140" spans="1:2" x14ac:dyDescent="0.4">
      <c r="A140" t="s">
        <v>203</v>
      </c>
      <c r="B140" t="s">
        <v>204</v>
      </c>
    </row>
    <row r="141" spans="1:2" x14ac:dyDescent="0.4">
      <c r="A141" t="s">
        <v>205</v>
      </c>
      <c r="B141" t="s">
        <v>206</v>
      </c>
    </row>
    <row r="142" spans="1:2" x14ac:dyDescent="0.4">
      <c r="A142" t="s">
        <v>207</v>
      </c>
      <c r="B142">
        <f>ABS(B134)*0.1/Inputs!B11</f>
        <v>2.0473936457306507</v>
      </c>
    </row>
    <row r="143" spans="1:2" x14ac:dyDescent="0.4">
      <c r="A143" t="s">
        <v>208</v>
      </c>
      <c r="B143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43"/>
  <sheetViews>
    <sheetView workbookViewId="0"/>
  </sheetViews>
  <sheetFormatPr baseColWidth="10" defaultColWidth="9.23046875" defaultRowHeight="14.6" x14ac:dyDescent="0.4"/>
  <cols>
    <col min="1" max="1" width="30" customWidth="1"/>
    <col min="2" max="2" width="4" customWidth="1"/>
    <col min="3" max="11" width="14" customWidth="1"/>
  </cols>
  <sheetData>
    <row r="1" spans="1:11" ht="18.45" customHeight="1" x14ac:dyDescent="0.5">
      <c r="A1" s="1" t="s">
        <v>209</v>
      </c>
    </row>
    <row r="2" spans="1:11" x14ac:dyDescent="0.4">
      <c r="A2" s="2" t="s">
        <v>54</v>
      </c>
    </row>
    <row r="3" spans="1:11" x14ac:dyDescent="0.4">
      <c r="C3" s="13" t="s">
        <v>55</v>
      </c>
      <c r="D3" s="13" t="s">
        <v>56</v>
      </c>
      <c r="E3" s="13" t="s">
        <v>57</v>
      </c>
      <c r="F3" s="13" t="s">
        <v>58</v>
      </c>
      <c r="G3" s="13" t="s">
        <v>59</v>
      </c>
      <c r="H3" s="13" t="s">
        <v>60</v>
      </c>
      <c r="I3" s="13" t="s">
        <v>61</v>
      </c>
      <c r="J3" s="13" t="s">
        <v>62</v>
      </c>
      <c r="K3" s="13" t="s">
        <v>63</v>
      </c>
    </row>
    <row r="4" spans="1:11" x14ac:dyDescent="0.4">
      <c r="A4" s="4" t="s">
        <v>64</v>
      </c>
      <c r="C4" s="14" t="s">
        <v>55</v>
      </c>
      <c r="D4" s="14" t="s">
        <v>65</v>
      </c>
      <c r="E4" s="14" t="s">
        <v>57</v>
      </c>
      <c r="F4" s="14" t="s">
        <v>58</v>
      </c>
      <c r="G4" s="14"/>
      <c r="H4" s="14"/>
      <c r="I4" s="14"/>
      <c r="J4" s="14"/>
    </row>
    <row r="5" spans="1:11" x14ac:dyDescent="0.4">
      <c r="A5" s="4" t="s">
        <v>66</v>
      </c>
      <c r="C5" s="5">
        <v>25610</v>
      </c>
      <c r="D5" s="5"/>
      <c r="E5" s="5">
        <v>12652</v>
      </c>
      <c r="F5" s="5">
        <v>4103</v>
      </c>
      <c r="G5" s="5"/>
      <c r="H5" s="5"/>
      <c r="I5" s="5"/>
      <c r="J5" s="5"/>
    </row>
    <row r="6" spans="1:11" x14ac:dyDescent="0.4">
      <c r="A6" s="4" t="s">
        <v>67</v>
      </c>
      <c r="C6" s="7">
        <v>3.4038744867515652E-2</v>
      </c>
      <c r="D6" s="7"/>
      <c r="E6" s="7">
        <v>3.903874486751565E-2</v>
      </c>
      <c r="F6" s="7">
        <v>4.8077489735031301E-2</v>
      </c>
      <c r="G6" s="7"/>
      <c r="H6" s="7"/>
      <c r="I6" s="7"/>
      <c r="J6" s="7"/>
    </row>
    <row r="7" spans="1:11" x14ac:dyDescent="0.4">
      <c r="A7" s="4" t="s">
        <v>68</v>
      </c>
      <c r="C7" s="7">
        <v>0.26807748973503132</v>
      </c>
      <c r="D7" s="7"/>
      <c r="E7" s="7">
        <v>0.2150774897350313</v>
      </c>
      <c r="F7" s="7">
        <v>5.8154979470062602E-2</v>
      </c>
      <c r="G7" s="7"/>
      <c r="H7" s="7"/>
      <c r="I7" s="7"/>
      <c r="J7" s="7"/>
    </row>
    <row r="8" spans="1:11" x14ac:dyDescent="0.4">
      <c r="A8" s="4" t="s">
        <v>69</v>
      </c>
      <c r="C8" s="15">
        <v>0.25</v>
      </c>
      <c r="D8" s="15"/>
      <c r="E8" s="15">
        <v>0.19700000000000001</v>
      </c>
      <c r="F8" s="15">
        <v>2.1999999999999999E-2</v>
      </c>
      <c r="G8" s="15"/>
      <c r="H8" s="15"/>
      <c r="I8" s="15"/>
      <c r="J8" s="15"/>
    </row>
    <row r="9" spans="1:11" x14ac:dyDescent="0.4">
      <c r="A9" s="4" t="s">
        <v>70</v>
      </c>
      <c r="C9" s="7">
        <v>0.27</v>
      </c>
      <c r="D9" s="7"/>
      <c r="E9" s="7">
        <v>0.22807748973503131</v>
      </c>
      <c r="F9" s="7">
        <v>7.4999999999999997E-2</v>
      </c>
      <c r="G9" s="7"/>
      <c r="H9" s="7"/>
      <c r="I9" s="7"/>
      <c r="J9" s="7"/>
    </row>
    <row r="10" spans="1:11" x14ac:dyDescent="0.4">
      <c r="A10" s="4" t="s">
        <v>71</v>
      </c>
      <c r="C10" s="7">
        <v>0.19</v>
      </c>
      <c r="D10" s="7"/>
      <c r="E10" s="7">
        <v>0.16</v>
      </c>
      <c r="F10" s="7">
        <v>5.3999999999999999E-2</v>
      </c>
      <c r="G10" s="7"/>
      <c r="H10" s="7"/>
      <c r="I10" s="7"/>
      <c r="J10" s="7"/>
    </row>
    <row r="11" spans="1:11" x14ac:dyDescent="0.4">
      <c r="A11" s="4" t="s">
        <v>72</v>
      </c>
      <c r="C11" s="7">
        <v>0.17499999999999999</v>
      </c>
      <c r="D11" s="7"/>
      <c r="E11" s="7">
        <v>0.20599999999999999</v>
      </c>
      <c r="F11" s="7">
        <v>6.0999999999999999E-2</v>
      </c>
      <c r="G11" s="7"/>
      <c r="H11" s="7"/>
      <c r="I11" s="7"/>
      <c r="J11" s="7"/>
    </row>
    <row r="12" spans="1:11" x14ac:dyDescent="0.4">
      <c r="A12" s="4" t="s">
        <v>73</v>
      </c>
      <c r="C12" s="7">
        <v>1.4999999999999999E-2</v>
      </c>
      <c r="D12" s="7"/>
      <c r="E12" s="7">
        <v>-4.5999999999999999E-2</v>
      </c>
      <c r="F12" s="7">
        <v>-7.0000000000000001E-3</v>
      </c>
      <c r="G12" s="7"/>
      <c r="H12" s="7"/>
      <c r="I12" s="7"/>
      <c r="J12" s="7"/>
    </row>
    <row r="13" spans="1:11" x14ac:dyDescent="0.4">
      <c r="A13" s="4" t="s">
        <v>74</v>
      </c>
      <c r="C13" s="7">
        <v>2.4519372433757829E-2</v>
      </c>
      <c r="D13" s="7"/>
      <c r="E13" s="7">
        <v>2.4519372433757829E-2</v>
      </c>
      <c r="F13" s="7">
        <v>2.4519372433757829E-2</v>
      </c>
      <c r="G13" s="7"/>
      <c r="H13" s="7"/>
      <c r="I13" s="7"/>
      <c r="J13" s="7"/>
    </row>
    <row r="14" spans="1:11" x14ac:dyDescent="0.4">
      <c r="A14" s="4" t="s">
        <v>75</v>
      </c>
      <c r="C14" s="9">
        <v>0.48899999999999999</v>
      </c>
      <c r="D14" s="9"/>
      <c r="E14" s="9">
        <v>0.48899999999999999</v>
      </c>
      <c r="F14" s="9">
        <v>0.97799999999999998</v>
      </c>
      <c r="G14" s="9"/>
      <c r="H14" s="9"/>
      <c r="I14" s="9"/>
      <c r="J14" s="9"/>
    </row>
    <row r="15" spans="1:11" x14ac:dyDescent="0.4">
      <c r="A15" s="4" t="s">
        <v>76</v>
      </c>
      <c r="C15" s="7">
        <v>0</v>
      </c>
      <c r="D15" s="7"/>
      <c r="E15" s="7">
        <v>0</v>
      </c>
      <c r="F15" s="7">
        <v>0</v>
      </c>
      <c r="G15" s="7"/>
      <c r="H15" s="7"/>
      <c r="I15" s="7"/>
      <c r="J15" s="7"/>
    </row>
    <row r="16" spans="1:11" x14ac:dyDescent="0.4">
      <c r="A16" s="4" t="s">
        <v>77</v>
      </c>
      <c r="C16" s="11">
        <f>MAX((MAX(Inputs!B18+((1-0.33)*C14*(1+(1-Inputs!B22)*Inputs!B21)+0.33)*Inputs!B19+IF(ISBLANK(C17),Inputs!B24,C17)+Inputs!B25+Inputs!B39,MIN(Inputs!B27,0.08)+0.025))*Inputs!B29+Inputs!B28*Inputs!B30,C15)</f>
        <v>6.0103121418066993E-2</v>
      </c>
      <c r="D16" s="11">
        <f>MAX((MAX(Inputs!B18+((1-0.33)*D14*(1+(1-Inputs!B22)*Inputs!B21)+0.33)*Inputs!B19+IF(ISBLANK(D17),Inputs!B24,D17)+Inputs!B25+Inputs!B39,MIN(Inputs!B27,0.08)+0.025))*Inputs!B29+Inputs!B28*Inputs!B30,D15)</f>
        <v>5.2919298050139285E-2</v>
      </c>
      <c r="E16" s="11">
        <f>MAX((MAX(Inputs!B18+((1-0.33)*E14*(1+(1-Inputs!B22)*Inputs!B21)+0.33)*Inputs!B19+IF(ISBLANK(E17),Inputs!B24,E17)+Inputs!B25+Inputs!B39,MIN(Inputs!B27,0.08)+0.025))*Inputs!B29+Inputs!B28*Inputs!B30,E15)</f>
        <v>6.2888636738401255E-2</v>
      </c>
      <c r="F16" s="11">
        <f>MAX((MAX(Inputs!B18+((1-0.33)*F14*(1+(1-Inputs!B22)*Inputs!B21)+0.33)*Inputs!B19+IF(ISBLANK(F17),Inputs!B24,F17)+Inputs!B25+Inputs!B39,MIN(Inputs!B27,0.08)+0.025))*Inputs!B29+Inputs!B28*Inputs!B30,F15)</f>
        <v>7.6781671235108678E-2</v>
      </c>
      <c r="G16" s="11">
        <f>MAX((MAX(Inputs!B18+((1-0.33)*G14*(1+(1-Inputs!B22)*Inputs!B21)+0.33)*Inputs!B19+IF(ISBLANK(G17),Inputs!B24,G17)+Inputs!B25+Inputs!B39,MIN(Inputs!B27,0.08)+0.025))*Inputs!B29+Inputs!B28*Inputs!B30,G15)</f>
        <v>5.2919298050139285E-2</v>
      </c>
      <c r="H16" s="11">
        <f>MAX((MAX(Inputs!B18+((1-0.33)*H14*(1+(1-Inputs!B22)*Inputs!B21)+0.33)*Inputs!B19+IF(ISBLANK(H17),Inputs!B24,H17)+Inputs!B25+Inputs!B39,MIN(Inputs!B27,0.08)+0.025))*Inputs!B29+Inputs!B28*Inputs!B30,H15)</f>
        <v>5.2919298050139285E-2</v>
      </c>
      <c r="I16" s="11">
        <f>MAX((MAX(Inputs!B18+((1-0.33)*I14*(1+(1-Inputs!B22)*Inputs!B21)+0.33)*Inputs!B19+IF(ISBLANK(I17),Inputs!B24,I17)+Inputs!B25+Inputs!B39,MIN(Inputs!B27,0.08)+0.025))*Inputs!B29+Inputs!B28*Inputs!B30,I15)</f>
        <v>5.2919298050139285E-2</v>
      </c>
      <c r="J16" s="11">
        <f>MAX((MAX(Inputs!B18+((1-0.33)*J14*(1+(1-Inputs!B22)*Inputs!B21)+0.33)*Inputs!B19+IF(ISBLANK(J17),Inputs!B24,J17)+Inputs!B25+Inputs!B39,MIN(Inputs!B27,0.08)+0.025))*Inputs!B29+Inputs!B28*Inputs!B30,J15)</f>
        <v>5.2919298050139285E-2</v>
      </c>
    </row>
    <row r="17" spans="1:10" x14ac:dyDescent="0.4">
      <c r="A17" s="16" t="s">
        <v>78</v>
      </c>
      <c r="C17" s="7"/>
      <c r="D17" s="7"/>
      <c r="E17" s="7">
        <v>0.01</v>
      </c>
      <c r="F17" s="7"/>
      <c r="G17" s="7"/>
      <c r="H17" s="7"/>
      <c r="I17" s="7"/>
      <c r="J17" s="7"/>
    </row>
    <row r="18" spans="1:10" ht="40" customHeight="1" x14ac:dyDescent="0.4">
      <c r="A18" s="17" t="s">
        <v>79</v>
      </c>
      <c r="C18" s="18" t="s">
        <v>80</v>
      </c>
      <c r="D18" s="35" t="s">
        <v>81</v>
      </c>
      <c r="E18" s="18" t="s">
        <v>82</v>
      </c>
      <c r="F18" s="18" t="s">
        <v>83</v>
      </c>
      <c r="G18" s="18"/>
      <c r="H18" s="18"/>
      <c r="I18" s="18"/>
      <c r="J18" s="18"/>
    </row>
    <row r="19" spans="1:10" ht="40" customHeight="1" x14ac:dyDescent="0.4">
      <c r="A19" s="17" t="s">
        <v>84</v>
      </c>
      <c r="C19" s="18" t="s">
        <v>85</v>
      </c>
      <c r="D19" s="18"/>
      <c r="E19" s="18" t="s">
        <v>86</v>
      </c>
      <c r="F19" s="18" t="s">
        <v>87</v>
      </c>
      <c r="G19" s="18"/>
      <c r="H19" s="18"/>
      <c r="I19" s="18"/>
      <c r="J19" s="18"/>
    </row>
    <row r="20" spans="1:10" ht="28" customHeight="1" x14ac:dyDescent="0.4">
      <c r="A20" s="17" t="s">
        <v>88</v>
      </c>
      <c r="C20" s="18" t="s">
        <v>89</v>
      </c>
      <c r="D20" s="18"/>
      <c r="E20" s="18" t="s">
        <v>90</v>
      </c>
      <c r="F20" s="18" t="s">
        <v>91</v>
      </c>
      <c r="G20" s="18"/>
      <c r="H20" s="18"/>
      <c r="I20" s="18"/>
      <c r="J20" s="18"/>
    </row>
    <row r="21" spans="1:10" x14ac:dyDescent="0.4">
      <c r="A21" s="4" t="s">
        <v>92</v>
      </c>
      <c r="C21" s="6">
        <f t="shared" ref="C21:J21" si="0">C5*(1+C6)^1</f>
        <v>26481.732256057076</v>
      </c>
      <c r="D21" s="6">
        <f t="shared" si="0"/>
        <v>0</v>
      </c>
      <c r="E21" s="6">
        <f t="shared" si="0"/>
        <v>13145.918200063807</v>
      </c>
      <c r="F21" s="6">
        <f t="shared" si="0"/>
        <v>4300.2619403828339</v>
      </c>
      <c r="G21" s="6">
        <f t="shared" si="0"/>
        <v>0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4">
      <c r="A22" s="4" t="s">
        <v>93</v>
      </c>
      <c r="C22" s="6">
        <f t="shared" ref="C22:J22" si="1">C5*(1+C6)^2</f>
        <v>27383.137183970863</v>
      </c>
      <c r="D22" s="6">
        <f t="shared" si="1"/>
        <v>0</v>
      </c>
      <c r="E22" s="6">
        <f t="shared" si="1"/>
        <v>13659.118346725327</v>
      </c>
      <c r="F22" s="6">
        <f t="shared" si="1"/>
        <v>4507.007739679535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4">
      <c r="A23" s="4" t="s">
        <v>94</v>
      </c>
      <c r="C23" s="6">
        <f t="shared" ref="C23:J23" si="2">C5*(1+C6)^3</f>
        <v>28315.224804248228</v>
      </c>
      <c r="D23" s="6">
        <f t="shared" si="2"/>
        <v>0</v>
      </c>
      <c r="E23" s="6">
        <f t="shared" si="2"/>
        <v>14192.353182978337</v>
      </c>
      <c r="F23" s="6">
        <f t="shared" si="2"/>
        <v>4723.6933580196846</v>
      </c>
      <c r="G23" s="6">
        <f t="shared" si="2"/>
        <v>0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4">
      <c r="A24" s="4" t="s">
        <v>95</v>
      </c>
      <c r="C24" s="6">
        <f t="shared" ref="C24:J24" si="3">C5*(1+C6)^4</f>
        <v>29279.039517226385</v>
      </c>
      <c r="D24" s="6">
        <f t="shared" si="3"/>
        <v>0</v>
      </c>
      <c r="E24" s="6">
        <f t="shared" si="3"/>
        <v>14746.404837958302</v>
      </c>
      <c r="F24" s="6">
        <f t="shared" si="3"/>
        <v>4950.7966769513123</v>
      </c>
      <c r="G24" s="6">
        <f t="shared" si="3"/>
        <v>0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4">
      <c r="A25" s="4" t="s">
        <v>96</v>
      </c>
      <c r="C25" s="6">
        <f t="shared" ref="C25:J25" si="4">C5*(1+C6)^5</f>
        <v>30275.661273319161</v>
      </c>
      <c r="D25" s="6">
        <f t="shared" si="4"/>
        <v>0</v>
      </c>
      <c r="E25" s="6">
        <f t="shared" si="4"/>
        <v>15322.085974140453</v>
      </c>
      <c r="F25" s="6">
        <f t="shared" si="4"/>
        <v>5188.818553367666</v>
      </c>
      <c r="G25" s="6">
        <f t="shared" si="4"/>
        <v>0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6" spans="1:10" x14ac:dyDescent="0.4">
      <c r="A26" s="4" t="s">
        <v>97</v>
      </c>
      <c r="C26" s="7"/>
      <c r="D26" s="7"/>
      <c r="E26" s="7">
        <v>-0.03</v>
      </c>
      <c r="F26" s="7"/>
      <c r="G26" s="7"/>
      <c r="H26" s="7"/>
      <c r="I26" s="7"/>
      <c r="J26" s="7"/>
    </row>
    <row r="27" spans="1:10" x14ac:dyDescent="0.4">
      <c r="A27" s="4" t="s">
        <v>98</v>
      </c>
      <c r="C27" s="11">
        <f t="shared" ref="C27:J27" si="5">IF(ISBLANK(C9),C7,C7+(C9-C7)*(0)/4)</f>
        <v>0.26807748973503132</v>
      </c>
      <c r="D27" s="11">
        <f t="shared" si="5"/>
        <v>0</v>
      </c>
      <c r="E27" s="11">
        <f t="shared" si="5"/>
        <v>0.2150774897350313</v>
      </c>
      <c r="F27" s="11">
        <f t="shared" si="5"/>
        <v>5.8154979470062602E-2</v>
      </c>
      <c r="G27" s="11">
        <f t="shared" si="5"/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4">
      <c r="A28" s="4" t="s">
        <v>99</v>
      </c>
      <c r="C28" s="11">
        <f t="shared" ref="C28:J28" si="6">IF(ISBLANK(C9),C7,C7+(C9-C7)*(1)/4)</f>
        <v>0.26855811730127349</v>
      </c>
      <c r="D28" s="11">
        <f t="shared" si="6"/>
        <v>0</v>
      </c>
      <c r="E28" s="11">
        <f t="shared" si="6"/>
        <v>0.2183274897350313</v>
      </c>
      <c r="F28" s="11">
        <f t="shared" si="6"/>
        <v>6.2366234602546949E-2</v>
      </c>
      <c r="G28" s="11">
        <f t="shared" si="6"/>
        <v>0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4">
      <c r="A29" s="4" t="s">
        <v>100</v>
      </c>
      <c r="C29" s="11">
        <f t="shared" ref="C29:J29" si="7">IF(ISBLANK(C9),C7,C7+(C9-C7)*(2)/4)</f>
        <v>0.26903874486751567</v>
      </c>
      <c r="D29" s="11">
        <f t="shared" si="7"/>
        <v>0</v>
      </c>
      <c r="E29" s="11">
        <f t="shared" si="7"/>
        <v>0.2215774897350313</v>
      </c>
      <c r="F29" s="11">
        <f t="shared" si="7"/>
        <v>6.6577489735031303E-2</v>
      </c>
      <c r="G29" s="11">
        <f t="shared" si="7"/>
        <v>0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4">
      <c r="A30" s="4" t="s">
        <v>101</v>
      </c>
      <c r="C30" s="11">
        <f t="shared" ref="C30:J30" si="8">IF(ISBLANK(C9),C7,C7+(C9-C7)*(3)/4)</f>
        <v>0.26951937243375784</v>
      </c>
      <c r="D30" s="11">
        <f t="shared" si="8"/>
        <v>0</v>
      </c>
      <c r="E30" s="11">
        <f t="shared" si="8"/>
        <v>0.22482748973503131</v>
      </c>
      <c r="F30" s="11">
        <f t="shared" si="8"/>
        <v>7.0788744867515643E-2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4">
      <c r="A31" s="4" t="s">
        <v>102</v>
      </c>
      <c r="C31" s="11">
        <f t="shared" ref="C31:J31" si="9">IF(ISBLANK(C9),C7,C7+(C9-C7)*(4)/4)</f>
        <v>0.27</v>
      </c>
      <c r="D31" s="11">
        <f t="shared" si="9"/>
        <v>0</v>
      </c>
      <c r="E31" s="11">
        <f t="shared" si="9"/>
        <v>0.22807748973503131</v>
      </c>
      <c r="F31" s="11">
        <f t="shared" si="9"/>
        <v>7.4999999999999997E-2</v>
      </c>
      <c r="G31" s="11">
        <f t="shared" si="9"/>
        <v>0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4">
      <c r="A33" s="4" t="s">
        <v>103</v>
      </c>
      <c r="C33" s="6">
        <f t="shared" ref="C33:J37" si="10">C21*C27</f>
        <v>7099.1563070389884</v>
      </c>
      <c r="D33" s="6">
        <f t="shared" si="10"/>
        <v>0</v>
      </c>
      <c r="E33" s="6">
        <f t="shared" si="10"/>
        <v>2827.3910867317845</v>
      </c>
      <c r="F33" s="6">
        <f t="shared" si="10"/>
        <v>250.08164485885527</v>
      </c>
      <c r="G33" s="6">
        <f t="shared" si="10"/>
        <v>0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4">
      <c r="A34" s="4" t="s">
        <v>104</v>
      </c>
      <c r="C34" s="6">
        <f t="shared" si="10"/>
        <v>7353.9637679297111</v>
      </c>
      <c r="D34" s="6">
        <f t="shared" si="10"/>
        <v>0</v>
      </c>
      <c r="E34" s="6">
        <f t="shared" si="10"/>
        <v>2982.1610206342516</v>
      </c>
      <c r="F34" s="6">
        <f t="shared" si="10"/>
        <v>281.08510204834874</v>
      </c>
      <c r="G34" s="6">
        <f t="shared" si="10"/>
        <v>0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4">
      <c r="A35" s="4" t="s">
        <v>105</v>
      </c>
      <c r="C35" s="6">
        <f t="shared" si="10"/>
        <v>7617.8925419764901</v>
      </c>
      <c r="D35" s="6">
        <f t="shared" si="10"/>
        <v>0</v>
      </c>
      <c r="E35" s="6">
        <f t="shared" si="10"/>
        <v>3144.7059917173215</v>
      </c>
      <c r="F35" s="6">
        <f t="shared" si="10"/>
        <v>314.49164605499112</v>
      </c>
      <c r="G35" s="6">
        <f t="shared" si="10"/>
        <v>0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4">
      <c r="A36" s="4" t="s">
        <v>106</v>
      </c>
      <c r="C36" s="6">
        <f t="shared" si="10"/>
        <v>7891.2683561460517</v>
      </c>
      <c r="D36" s="6">
        <f t="shared" si="10"/>
        <v>0</v>
      </c>
      <c r="E36" s="6">
        <f t="shared" si="10"/>
        <v>3315.397182334686</v>
      </c>
      <c r="F36" s="6">
        <f t="shared" si="10"/>
        <v>350.4606828556507</v>
      </c>
      <c r="G36" s="6">
        <f t="shared" si="10"/>
        <v>0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4">
      <c r="A37" s="4" t="s">
        <v>107</v>
      </c>
      <c r="C37" s="6">
        <f t="shared" si="10"/>
        <v>8174.4285437961744</v>
      </c>
      <c r="D37" s="6">
        <f t="shared" si="10"/>
        <v>0</v>
      </c>
      <c r="E37" s="6">
        <f t="shared" si="10"/>
        <v>3494.6229064862864</v>
      </c>
      <c r="F37" s="6">
        <f t="shared" si="10"/>
        <v>389.16139150257493</v>
      </c>
      <c r="G37" s="6">
        <f t="shared" si="10"/>
        <v>0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4">
      <c r="A39" s="4" t="s">
        <v>108</v>
      </c>
      <c r="C39" s="6">
        <f>C33*(1-Inputs!B22)</f>
        <v>5274.673136129968</v>
      </c>
      <c r="D39" s="6">
        <f>D33*(1-Inputs!B22)</f>
        <v>0</v>
      </c>
      <c r="E39" s="6">
        <f>E33*(1-Inputs!B22)</f>
        <v>2100.7515774417161</v>
      </c>
      <c r="F39" s="6">
        <f>F33*(1-Inputs!B22)</f>
        <v>185.81066213012946</v>
      </c>
      <c r="G39" s="6">
        <f>G33*(1-Inputs!B22)</f>
        <v>0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4">
      <c r="A40" s="4" t="s">
        <v>109</v>
      </c>
      <c r="C40" s="6">
        <f>C34*(1-Inputs!B22)</f>
        <v>5463.995079571775</v>
      </c>
      <c r="D40" s="6">
        <f>D34*(1-Inputs!B22)</f>
        <v>0</v>
      </c>
      <c r="E40" s="6">
        <f>E34*(1-Inputs!B22)</f>
        <v>2215.7456383312488</v>
      </c>
      <c r="F40" s="6">
        <f>F34*(1-Inputs!B22)</f>
        <v>208.84623082192311</v>
      </c>
      <c r="G40" s="6">
        <f>G34*(1-Inputs!B22)</f>
        <v>0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4">
      <c r="A41" s="4" t="s">
        <v>110</v>
      </c>
      <c r="C41" s="6">
        <f>C35*(1-Inputs!B22)</f>
        <v>5660.0941586885319</v>
      </c>
      <c r="D41" s="6">
        <f>D35*(1-Inputs!B22)</f>
        <v>0</v>
      </c>
      <c r="E41" s="6">
        <f>E35*(1-Inputs!B22)</f>
        <v>2336.5165518459698</v>
      </c>
      <c r="F41" s="6">
        <f>F35*(1-Inputs!B22)</f>
        <v>233.6672930188584</v>
      </c>
      <c r="G41" s="6">
        <f>G35*(1-Inputs!B22)</f>
        <v>0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4">
      <c r="A42" s="4" t="s">
        <v>111</v>
      </c>
      <c r="C42" s="6">
        <f>C36*(1-Inputs!B22)</f>
        <v>5863.2123886165164</v>
      </c>
      <c r="D42" s="6">
        <f>D36*(1-Inputs!B22)</f>
        <v>0</v>
      </c>
      <c r="E42" s="6">
        <f>E36*(1-Inputs!B22)</f>
        <v>2463.3401064746718</v>
      </c>
      <c r="F42" s="6">
        <f>F36*(1-Inputs!B22)</f>
        <v>260.39228736174846</v>
      </c>
      <c r="G42" s="6">
        <f>G36*(1-Inputs!B22)</f>
        <v>0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4">
      <c r="A43" s="4" t="s">
        <v>112</v>
      </c>
      <c r="C43" s="6">
        <f>C37*(1-Inputs!B22)</f>
        <v>6073.6004080405573</v>
      </c>
      <c r="D43" s="6">
        <f>D37*(1-Inputs!B22)</f>
        <v>0</v>
      </c>
      <c r="E43" s="6">
        <f>E37*(1-Inputs!B22)</f>
        <v>2596.5048195193108</v>
      </c>
      <c r="F43" s="6">
        <f>F37*(1-Inputs!B22)</f>
        <v>289.14691388641319</v>
      </c>
      <c r="G43" s="6">
        <f>G37*(1-Inputs!B22)</f>
        <v>0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4">
      <c r="A45" s="4" t="s">
        <v>113</v>
      </c>
      <c r="C45" s="6">
        <f t="shared" ref="C45:J45" si="11">C21*IF(ISBLANK(C26),C12,C12+(C26-C12)*(0)/4)</f>
        <v>397.22598384085614</v>
      </c>
      <c r="D45" s="6">
        <f t="shared" si="11"/>
        <v>0</v>
      </c>
      <c r="E45" s="6">
        <f t="shared" si="11"/>
        <v>-604.71223720293506</v>
      </c>
      <c r="F45" s="6">
        <f t="shared" si="11"/>
        <v>-30.101833582679838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4">
      <c r="A46" s="4" t="s">
        <v>114</v>
      </c>
      <c r="C46" s="6">
        <f t="shared" ref="C46:J46" si="12">C22*IF(ISBLANK(C26),C12,C12+(C26-C12)*(1)/4)</f>
        <v>410.74705775956295</v>
      </c>
      <c r="D46" s="6">
        <f t="shared" si="12"/>
        <v>0</v>
      </c>
      <c r="E46" s="6">
        <f t="shared" si="12"/>
        <v>-573.68297056246365</v>
      </c>
      <c r="F46" s="6">
        <f t="shared" si="12"/>
        <v>-31.549054177756744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4">
      <c r="A47" s="4" t="s">
        <v>115</v>
      </c>
      <c r="C47" s="6">
        <f t="shared" ref="C47:J47" si="13">C23*IF(ISBLANK(C26),C12,C12+(C26-C12)*(2)/4)</f>
        <v>424.72837206372338</v>
      </c>
      <c r="D47" s="6">
        <f t="shared" si="13"/>
        <v>0</v>
      </c>
      <c r="E47" s="6">
        <f t="shared" si="13"/>
        <v>-539.30942095317675</v>
      </c>
      <c r="F47" s="6">
        <f t="shared" si="13"/>
        <v>-33.065853506137792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4">
      <c r="A48" s="4" t="s">
        <v>116</v>
      </c>
      <c r="C48" s="6">
        <f t="shared" ref="C48:J48" si="14">C24*IF(ISBLANK(C26),C12,C12+(C26-C12)*(3)/4)</f>
        <v>439.18559275839579</v>
      </c>
      <c r="D48" s="6">
        <f t="shared" si="14"/>
        <v>0</v>
      </c>
      <c r="E48" s="6">
        <f t="shared" si="14"/>
        <v>-501.37776449058231</v>
      </c>
      <c r="F48" s="6">
        <f t="shared" si="14"/>
        <v>-34.655576738659185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4">
      <c r="A49" s="4" t="s">
        <v>117</v>
      </c>
      <c r="C49" s="6">
        <f t="shared" ref="C49:J49" si="15">C25*IF(ISBLANK(C26),C12,C12+(C26-C12)*(4)/4)</f>
        <v>454.1349190997874</v>
      </c>
      <c r="D49" s="6">
        <f t="shared" si="15"/>
        <v>0</v>
      </c>
      <c r="E49" s="6">
        <f t="shared" si="15"/>
        <v>-459.66257922421357</v>
      </c>
      <c r="F49" s="6">
        <f t="shared" si="15"/>
        <v>-36.321729873573666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4">
      <c r="A51" s="4" t="s">
        <v>118</v>
      </c>
      <c r="C51" s="6">
        <f t="shared" ref="C51:J55" si="16">C39-C45</f>
        <v>4877.4471522891117</v>
      </c>
      <c r="D51" s="6">
        <f t="shared" si="16"/>
        <v>0</v>
      </c>
      <c r="E51" s="6">
        <f t="shared" si="16"/>
        <v>2705.4638146446514</v>
      </c>
      <c r="F51" s="6">
        <f t="shared" si="16"/>
        <v>215.91249571280929</v>
      </c>
      <c r="G51" s="6">
        <f t="shared" si="16"/>
        <v>0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4">
      <c r="A52" s="4" t="s">
        <v>119</v>
      </c>
      <c r="C52" s="6">
        <f t="shared" si="16"/>
        <v>5053.2480218122118</v>
      </c>
      <c r="D52" s="6">
        <f t="shared" si="16"/>
        <v>0</v>
      </c>
      <c r="E52" s="6">
        <f t="shared" si="16"/>
        <v>2789.4286088937124</v>
      </c>
      <c r="F52" s="6">
        <f t="shared" si="16"/>
        <v>240.39528499967986</v>
      </c>
      <c r="G52" s="6">
        <f t="shared" si="16"/>
        <v>0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4">
      <c r="A53" s="4" t="s">
        <v>120</v>
      </c>
      <c r="C53" s="6">
        <f t="shared" si="16"/>
        <v>5235.3657866248086</v>
      </c>
      <c r="D53" s="6">
        <f t="shared" si="16"/>
        <v>0</v>
      </c>
      <c r="E53" s="6">
        <f t="shared" si="16"/>
        <v>2875.8259727991467</v>
      </c>
      <c r="F53" s="6">
        <f t="shared" si="16"/>
        <v>266.73314652499619</v>
      </c>
      <c r="G53" s="6">
        <f t="shared" si="16"/>
        <v>0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4">
      <c r="A54" s="4" t="s">
        <v>121</v>
      </c>
      <c r="C54" s="6">
        <f t="shared" si="16"/>
        <v>5424.0267958581207</v>
      </c>
      <c r="D54" s="6">
        <f t="shared" si="16"/>
        <v>0</v>
      </c>
      <c r="E54" s="6">
        <f t="shared" si="16"/>
        <v>2964.717870965254</v>
      </c>
      <c r="F54" s="6">
        <f t="shared" si="16"/>
        <v>295.04786410040765</v>
      </c>
      <c r="G54" s="6">
        <f t="shared" si="16"/>
        <v>0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4">
      <c r="A55" s="4" t="s">
        <v>122</v>
      </c>
      <c r="C55" s="6">
        <f t="shared" si="16"/>
        <v>5619.4654889407702</v>
      </c>
      <c r="D55" s="6">
        <f t="shared" si="16"/>
        <v>0</v>
      </c>
      <c r="E55" s="6">
        <f t="shared" si="16"/>
        <v>3056.1673987435242</v>
      </c>
      <c r="F55" s="6">
        <f t="shared" si="16"/>
        <v>325.46864375998683</v>
      </c>
      <c r="G55" s="6">
        <f t="shared" si="16"/>
        <v>0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4">
      <c r="A57" s="4" t="s">
        <v>123</v>
      </c>
      <c r="C57" s="6">
        <f t="shared" ref="C57:J57" si="17">C51/((1+C16))</f>
        <v>4600.9176406958431</v>
      </c>
      <c r="D57" s="6">
        <f t="shared" si="17"/>
        <v>0</v>
      </c>
      <c r="E57" s="6">
        <f t="shared" si="17"/>
        <v>2545.3878432143988</v>
      </c>
      <c r="F57" s="6">
        <f t="shared" si="17"/>
        <v>200.51650346643589</v>
      </c>
      <c r="G57" s="6">
        <f t="shared" si="17"/>
        <v>0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4">
      <c r="A58" s="4" t="s">
        <v>124</v>
      </c>
      <c r="C58" s="6">
        <f t="shared" ref="C58:J58" si="18">C52/((1+C16)*(1+C16+(C104-C16)*1/5))</f>
        <v>4483.7246197342911</v>
      </c>
      <c r="D58" s="6">
        <f t="shared" si="18"/>
        <v>0</v>
      </c>
      <c r="E58" s="6">
        <f t="shared" si="18"/>
        <v>2462.0777048528435</v>
      </c>
      <c r="F58" s="6">
        <f t="shared" si="18"/>
        <v>207.39485716632146</v>
      </c>
      <c r="G58" s="6">
        <f t="shared" si="18"/>
        <v>0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4">
      <c r="A59" s="4" t="s">
        <v>125</v>
      </c>
      <c r="C59" s="6">
        <f t="shared" ref="C59:J59" si="19">C53/((1+C16)*(1+C16+(C104-C16)*1/5)*(1+C16+(C104-C16)*2/5))</f>
        <v>4357.1230495587415</v>
      </c>
      <c r="D59" s="6">
        <f t="shared" si="19"/>
        <v>0</v>
      </c>
      <c r="E59" s="6">
        <f t="shared" si="19"/>
        <v>2374.5915972290222</v>
      </c>
      <c r="F59" s="6">
        <f t="shared" si="19"/>
        <v>213.83367572215909</v>
      </c>
      <c r="G59" s="6">
        <f t="shared" si="19"/>
        <v>0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4">
      <c r="A60" s="4" t="s">
        <v>126</v>
      </c>
      <c r="C60" s="6">
        <f t="shared" ref="C60:J60" si="20">C54/((1+C16)*(1+C16+(C104-C16)*1/5)*(1+C16+(C104-C16)*2/5)*(1+C16+(C104-C16)*3/5))</f>
        <v>4222.1205705957154</v>
      </c>
      <c r="D60" s="6">
        <f t="shared" si="20"/>
        <v>0</v>
      </c>
      <c r="E60" s="6">
        <f t="shared" si="20"/>
        <v>2283.5922847880092</v>
      </c>
      <c r="F60" s="6">
        <f t="shared" si="20"/>
        <v>219.85992989677007</v>
      </c>
      <c r="G60" s="6">
        <f t="shared" si="20"/>
        <v>0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4">
      <c r="A61" s="4" t="s">
        <v>127</v>
      </c>
      <c r="C61" s="6">
        <f t="shared" ref="C61:J61" si="21">C55/((1+C16)*(1+C16+(C104-C16)*1/5)*(1+C16+(C104-C16)*2/5)*(1+C16+(C104-C16)*3/5)*(1+C16+(C104-C16)*4/5))</f>
        <v>4079.761932876906</v>
      </c>
      <c r="D61" s="6">
        <f t="shared" si="21"/>
        <v>0</v>
      </c>
      <c r="E61" s="6">
        <f t="shared" si="21"/>
        <v>2189.7459655292355</v>
      </c>
      <c r="F61" s="6">
        <f t="shared" si="21"/>
        <v>225.49905162945001</v>
      </c>
      <c r="G61" s="6">
        <f t="shared" si="21"/>
        <v>0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4">
      <c r="A62" s="3" t="s">
        <v>128</v>
      </c>
    </row>
    <row r="63" spans="1:10" x14ac:dyDescent="0.4">
      <c r="A63" s="4" t="s">
        <v>129</v>
      </c>
      <c r="C63" s="6">
        <f t="shared" ref="C63:J63" si="22">C25*(1+(C6+(C13-C6)*1/5))</f>
        <v>31248.565724029191</v>
      </c>
      <c r="D63" s="6">
        <f t="shared" si="22"/>
        <v>0</v>
      </c>
      <c r="E63" s="6">
        <f t="shared" si="22"/>
        <v>15875.74756477894</v>
      </c>
      <c r="F63" s="6">
        <f t="shared" si="22"/>
        <v>5413.8361648770888</v>
      </c>
      <c r="G63" s="6">
        <f t="shared" si="22"/>
        <v>0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4">
      <c r="A64" s="4" t="s">
        <v>130</v>
      </c>
      <c r="C64" s="6">
        <f t="shared" ref="C64:J64" si="23">C63*(1+(C6+(C13-C6)*2/5))</f>
        <v>32193.2409861261</v>
      </c>
      <c r="D64" s="6">
        <f t="shared" si="23"/>
        <v>0</v>
      </c>
      <c r="E64" s="6">
        <f t="shared" si="23"/>
        <v>16403.314466918488</v>
      </c>
      <c r="F64" s="6">
        <f t="shared" si="23"/>
        <v>5623.1039025522887</v>
      </c>
      <c r="G64" s="6">
        <f t="shared" si="23"/>
        <v>0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4">
      <c r="A65" s="4" t="s">
        <v>131</v>
      </c>
      <c r="C65" s="6">
        <f t="shared" ref="C65:J65" si="24">C64*(1+(C6+(C13-C6)*3/5))</f>
        <v>33105.182832033301</v>
      </c>
      <c r="D65" s="6">
        <f t="shared" si="24"/>
        <v>0</v>
      </c>
      <c r="E65" s="6">
        <f t="shared" si="24"/>
        <v>16900.779776238203</v>
      </c>
      <c r="F65" s="6">
        <f t="shared" si="24"/>
        <v>5813.9667779061147</v>
      </c>
      <c r="G65" s="6">
        <f t="shared" si="24"/>
        <v>0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4">
      <c r="A66" s="4" t="s">
        <v>132</v>
      </c>
      <c r="C66" s="6">
        <f t="shared" ref="C66:J66" si="25">C65*(1+(C6+(C13-C6)*4/5))</f>
        <v>33979.929252352726</v>
      </c>
      <c r="D66" s="6">
        <f t="shared" si="25"/>
        <v>0</v>
      </c>
      <c r="E66" s="6">
        <f t="shared" si="25"/>
        <v>17364.254033191133</v>
      </c>
      <c r="F66" s="6">
        <f t="shared" si="25"/>
        <v>5983.914816919013</v>
      </c>
      <c r="G66" s="6">
        <f t="shared" si="25"/>
        <v>0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4">
      <c r="A67" s="4" t="s">
        <v>133</v>
      </c>
      <c r="C67" s="6">
        <f t="shared" ref="C67:J67" si="26">C66*(1+(C6+(C13-C6)*5/5))</f>
        <v>34813.095792963904</v>
      </c>
      <c r="D67" s="6">
        <f t="shared" si="26"/>
        <v>0</v>
      </c>
      <c r="E67" s="6">
        <f t="shared" si="26"/>
        <v>17790.014644865329</v>
      </c>
      <c r="F67" s="6">
        <f t="shared" si="26"/>
        <v>6130.6366529269317</v>
      </c>
      <c r="G67" s="6">
        <f t="shared" si="26"/>
        <v>0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4">
      <c r="A69" s="4" t="s">
        <v>134</v>
      </c>
      <c r="C69" s="11">
        <f t="shared" ref="C69:J69" si="27">IF(ISBLANK(C9),C7,C9)</f>
        <v>0.27</v>
      </c>
      <c r="D69" s="11">
        <f t="shared" si="27"/>
        <v>0</v>
      </c>
      <c r="E69" s="11">
        <f t="shared" si="27"/>
        <v>0.22807748973503131</v>
      </c>
      <c r="F69" s="11">
        <f t="shared" si="27"/>
        <v>7.4999999999999997E-2</v>
      </c>
      <c r="G69" s="11">
        <f t="shared" si="27"/>
        <v>0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4">
      <c r="A70" s="4" t="s">
        <v>135</v>
      </c>
      <c r="C70" s="11">
        <f t="shared" ref="C70:J70" si="28">IF(ISBLANK(C9),C7,C9)</f>
        <v>0.27</v>
      </c>
      <c r="D70" s="11">
        <f t="shared" si="28"/>
        <v>0</v>
      </c>
      <c r="E70" s="11">
        <f t="shared" si="28"/>
        <v>0.22807748973503131</v>
      </c>
      <c r="F70" s="11">
        <f t="shared" si="28"/>
        <v>7.4999999999999997E-2</v>
      </c>
      <c r="G70" s="11">
        <f t="shared" si="28"/>
        <v>0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4">
      <c r="A71" s="4" t="s">
        <v>136</v>
      </c>
      <c r="C71" s="11">
        <f t="shared" ref="C71:J71" si="29">IF(ISBLANK(C9),C7,C9)</f>
        <v>0.27</v>
      </c>
      <c r="D71" s="11">
        <f t="shared" si="29"/>
        <v>0</v>
      </c>
      <c r="E71" s="11">
        <f t="shared" si="29"/>
        <v>0.22807748973503131</v>
      </c>
      <c r="F71" s="11">
        <f t="shared" si="29"/>
        <v>7.4999999999999997E-2</v>
      </c>
      <c r="G71" s="11">
        <f t="shared" si="29"/>
        <v>0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4">
      <c r="A72" s="4" t="s">
        <v>137</v>
      </c>
      <c r="C72" s="11">
        <f t="shared" ref="C72:J72" si="30">IF(ISBLANK(C9),C7,C9)</f>
        <v>0.27</v>
      </c>
      <c r="D72" s="11">
        <f t="shared" si="30"/>
        <v>0</v>
      </c>
      <c r="E72" s="11">
        <f t="shared" si="30"/>
        <v>0.22807748973503131</v>
      </c>
      <c r="F72" s="11">
        <f t="shared" si="30"/>
        <v>7.4999999999999997E-2</v>
      </c>
      <c r="G72" s="11">
        <f t="shared" si="30"/>
        <v>0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4">
      <c r="A73" s="4" t="s">
        <v>138</v>
      </c>
      <c r="C73" s="11">
        <f t="shared" ref="C73:J73" si="31">IF(ISBLANK(C9),C7,C9)</f>
        <v>0.27</v>
      </c>
      <c r="D73" s="11">
        <f t="shared" si="31"/>
        <v>0</v>
      </c>
      <c r="E73" s="11">
        <f t="shared" si="31"/>
        <v>0.22807748973503131</v>
      </c>
      <c r="F73" s="11">
        <f t="shared" si="31"/>
        <v>7.4999999999999997E-2</v>
      </c>
      <c r="G73" s="11">
        <f t="shared" si="31"/>
        <v>0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4">
      <c r="A75" s="4" t="s">
        <v>139</v>
      </c>
      <c r="C75" s="6">
        <f t="shared" ref="C75:J79" si="32">C63*C69</f>
        <v>8437.1127454878824</v>
      </c>
      <c r="D75" s="6">
        <f t="shared" si="32"/>
        <v>0</v>
      </c>
      <c r="E75" s="6">
        <f t="shared" si="32"/>
        <v>3620.9006522418167</v>
      </c>
      <c r="F75" s="6">
        <f t="shared" si="32"/>
        <v>406.03771236578166</v>
      </c>
      <c r="G75" s="6">
        <f t="shared" si="32"/>
        <v>0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4">
      <c r="A76" s="4" t="s">
        <v>140</v>
      </c>
      <c r="C76" s="6">
        <f t="shared" si="32"/>
        <v>8692.1750662540471</v>
      </c>
      <c r="D76" s="6">
        <f t="shared" si="32"/>
        <v>0</v>
      </c>
      <c r="E76" s="6">
        <f t="shared" si="32"/>
        <v>3741.226786949092</v>
      </c>
      <c r="F76" s="6">
        <f t="shared" si="32"/>
        <v>421.73279269142165</v>
      </c>
      <c r="G76" s="6">
        <f t="shared" si="32"/>
        <v>0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4">
      <c r="A77" s="4" t="s">
        <v>141</v>
      </c>
      <c r="C77" s="6">
        <f t="shared" si="32"/>
        <v>8938.3993646489926</v>
      </c>
      <c r="D77" s="6">
        <f t="shared" si="32"/>
        <v>0</v>
      </c>
      <c r="E77" s="6">
        <f t="shared" si="32"/>
        <v>3854.6874259289934</v>
      </c>
      <c r="F77" s="6">
        <f t="shared" si="32"/>
        <v>436.04750834295857</v>
      </c>
      <c r="G77" s="6">
        <f t="shared" si="32"/>
        <v>0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4">
      <c r="A78" s="4" t="s">
        <v>142</v>
      </c>
      <c r="C78" s="6">
        <f t="shared" si="32"/>
        <v>9174.5808981352366</v>
      </c>
      <c r="D78" s="6">
        <f t="shared" si="32"/>
        <v>0</v>
      </c>
      <c r="E78" s="6">
        <f t="shared" si="32"/>
        <v>3960.3954710116268</v>
      </c>
      <c r="F78" s="6">
        <f t="shared" si="32"/>
        <v>448.79361126892599</v>
      </c>
      <c r="G78" s="6">
        <f t="shared" si="32"/>
        <v>0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4">
      <c r="A79" s="4" t="s">
        <v>143</v>
      </c>
      <c r="C79" s="6">
        <f t="shared" si="32"/>
        <v>9399.5358641002549</v>
      </c>
      <c r="D79" s="6">
        <f t="shared" si="32"/>
        <v>0</v>
      </c>
      <c r="E79" s="6">
        <f t="shared" si="32"/>
        <v>4057.5018825503284</v>
      </c>
      <c r="F79" s="6">
        <f t="shared" si="32"/>
        <v>459.79774896951989</v>
      </c>
      <c r="G79" s="6">
        <f t="shared" si="32"/>
        <v>0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4">
      <c r="A81" s="4" t="s">
        <v>144</v>
      </c>
      <c r="C81" s="6">
        <f>C75*(1-Inputs!B22)</f>
        <v>6268.7747698974963</v>
      </c>
      <c r="D81" s="6">
        <f>D75*(1-Inputs!B22)</f>
        <v>0</v>
      </c>
      <c r="E81" s="6">
        <f>E75*(1-Inputs!B22)</f>
        <v>2690.3291846156699</v>
      </c>
      <c r="F81" s="6">
        <f>F75*(1-Inputs!B22)</f>
        <v>301.68602028777576</v>
      </c>
      <c r="G81" s="6">
        <f>G75*(1-Inputs!B22)</f>
        <v>0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4">
      <c r="A82" s="4" t="s">
        <v>145</v>
      </c>
      <c r="C82" s="6">
        <f>C76*(1-Inputs!B22)</f>
        <v>6458.2860742267567</v>
      </c>
      <c r="D82" s="6">
        <f>D76*(1-Inputs!B22)</f>
        <v>0</v>
      </c>
      <c r="E82" s="6">
        <f>E76*(1-Inputs!B22)</f>
        <v>2779.7315027031755</v>
      </c>
      <c r="F82" s="6">
        <f>F76*(1-Inputs!B22)</f>
        <v>313.34746496972627</v>
      </c>
      <c r="G82" s="6">
        <f>G76*(1-Inputs!B22)</f>
        <v>0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4">
      <c r="A83" s="4" t="s">
        <v>146</v>
      </c>
      <c r="C83" s="6">
        <f>C77*(1-Inputs!B22)</f>
        <v>6641.2307279342012</v>
      </c>
      <c r="D83" s="6">
        <f>D77*(1-Inputs!B22)</f>
        <v>0</v>
      </c>
      <c r="E83" s="6">
        <f>E77*(1-Inputs!B22)</f>
        <v>2864.032757465242</v>
      </c>
      <c r="F83" s="6">
        <f>F77*(1-Inputs!B22)</f>
        <v>323.9832986988182</v>
      </c>
      <c r="G83" s="6">
        <f>G77*(1-Inputs!B22)</f>
        <v>0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4">
      <c r="A84" s="4" t="s">
        <v>147</v>
      </c>
      <c r="C84" s="6">
        <f>C78*(1-Inputs!B22)</f>
        <v>6816.7136073144811</v>
      </c>
      <c r="D84" s="6">
        <f>D78*(1-Inputs!B22)</f>
        <v>0</v>
      </c>
      <c r="E84" s="6">
        <f>E78*(1-Inputs!B22)</f>
        <v>2942.5738349616386</v>
      </c>
      <c r="F84" s="6">
        <f>F78*(1-Inputs!B22)</f>
        <v>333.45365317281198</v>
      </c>
      <c r="G84" s="6">
        <f>G78*(1-Inputs!B22)</f>
        <v>0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4">
      <c r="A85" s="4" t="s">
        <v>148</v>
      </c>
      <c r="C85" s="6">
        <f>C79*(1-Inputs!B22)</f>
        <v>6983.8551470264892</v>
      </c>
      <c r="D85" s="6">
        <f>D79*(1-Inputs!B22)</f>
        <v>0</v>
      </c>
      <c r="E85" s="6">
        <f>E79*(1-Inputs!B22)</f>
        <v>3014.7238987348942</v>
      </c>
      <c r="F85" s="6">
        <f>F79*(1-Inputs!B22)</f>
        <v>341.62972748435328</v>
      </c>
      <c r="G85" s="6">
        <f>G79*(1-Inputs!B22)</f>
        <v>0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4">
      <c r="A87" s="4" t="s">
        <v>149</v>
      </c>
      <c r="C87" s="6">
        <f t="shared" ref="C87:J87" si="33">C63*MAX(IF(ISBLANK(C26),C12,C26),0)</f>
        <v>468.72848586043784</v>
      </c>
      <c r="D87" s="6">
        <f t="shared" si="33"/>
        <v>0</v>
      </c>
      <c r="E87" s="6">
        <f t="shared" si="33"/>
        <v>0</v>
      </c>
      <c r="F87" s="6">
        <f t="shared" si="33"/>
        <v>0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4">
      <c r="A88" s="4" t="s">
        <v>150</v>
      </c>
      <c r="C88" s="6">
        <f t="shared" ref="C88:J88" si="34">C64*MAX(IF(ISBLANK(C26),C12,C26),0)</f>
        <v>482.89861479189148</v>
      </c>
      <c r="D88" s="6">
        <f t="shared" si="34"/>
        <v>0</v>
      </c>
      <c r="E88" s="6">
        <f t="shared" si="34"/>
        <v>0</v>
      </c>
      <c r="F88" s="6">
        <f t="shared" si="34"/>
        <v>0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4">
      <c r="A89" s="4" t="s">
        <v>151</v>
      </c>
      <c r="C89" s="6">
        <f t="shared" ref="C89:J89" si="35">C65*MAX(IF(ISBLANK(C26),C12,C26),0)</f>
        <v>496.57774248049947</v>
      </c>
      <c r="D89" s="6">
        <f t="shared" si="35"/>
        <v>0</v>
      </c>
      <c r="E89" s="6">
        <f t="shared" si="35"/>
        <v>0</v>
      </c>
      <c r="F89" s="6">
        <f t="shared" si="35"/>
        <v>0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4">
      <c r="A90" s="4" t="s">
        <v>152</v>
      </c>
      <c r="C90" s="6">
        <f t="shared" ref="C90:J90" si="36">C66*MAX(IF(ISBLANK(C26),C12,C26),0)</f>
        <v>509.69893878529086</v>
      </c>
      <c r="D90" s="6">
        <f t="shared" si="36"/>
        <v>0</v>
      </c>
      <c r="E90" s="6">
        <f t="shared" si="36"/>
        <v>0</v>
      </c>
      <c r="F90" s="6">
        <f t="shared" si="36"/>
        <v>0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4">
      <c r="A91" s="4" t="s">
        <v>153</v>
      </c>
      <c r="C91" s="6">
        <f t="shared" ref="C91:J91" si="37">C67*MAX(IF(ISBLANK(C26),C12,C26),0)</f>
        <v>522.19643689445854</v>
      </c>
      <c r="D91" s="6">
        <f t="shared" si="37"/>
        <v>0</v>
      </c>
      <c r="E91" s="6">
        <f t="shared" si="37"/>
        <v>0</v>
      </c>
      <c r="F91" s="6">
        <f t="shared" si="37"/>
        <v>0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4">
      <c r="A93" s="4" t="s">
        <v>154</v>
      </c>
      <c r="C93" s="6">
        <f t="shared" ref="C93:J97" si="38">C81-C87</f>
        <v>5800.0462840370583</v>
      </c>
      <c r="D93" s="6">
        <f t="shared" si="38"/>
        <v>0</v>
      </c>
      <c r="E93" s="6">
        <f t="shared" si="38"/>
        <v>2690.3291846156699</v>
      </c>
      <c r="F93" s="6">
        <f t="shared" si="38"/>
        <v>301.68602028777576</v>
      </c>
      <c r="G93" s="6">
        <f t="shared" si="38"/>
        <v>0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4">
      <c r="A94" s="4" t="s">
        <v>155</v>
      </c>
      <c r="C94" s="6">
        <f t="shared" si="38"/>
        <v>5975.3874594348654</v>
      </c>
      <c r="D94" s="6">
        <f t="shared" si="38"/>
        <v>0</v>
      </c>
      <c r="E94" s="6">
        <f t="shared" si="38"/>
        <v>2779.7315027031755</v>
      </c>
      <c r="F94" s="6">
        <f t="shared" si="38"/>
        <v>313.34746496972627</v>
      </c>
      <c r="G94" s="6">
        <f t="shared" si="38"/>
        <v>0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4">
      <c r="A95" s="4" t="s">
        <v>156</v>
      </c>
      <c r="C95" s="6">
        <f t="shared" si="38"/>
        <v>6144.6529854537021</v>
      </c>
      <c r="D95" s="6">
        <f t="shared" si="38"/>
        <v>0</v>
      </c>
      <c r="E95" s="6">
        <f t="shared" si="38"/>
        <v>2864.032757465242</v>
      </c>
      <c r="F95" s="6">
        <f t="shared" si="38"/>
        <v>323.9832986988182</v>
      </c>
      <c r="G95" s="6">
        <f t="shared" si="38"/>
        <v>0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4">
      <c r="A96" s="4" t="s">
        <v>157</v>
      </c>
      <c r="C96" s="6">
        <f t="shared" si="38"/>
        <v>6307.0146685291902</v>
      </c>
      <c r="D96" s="6">
        <f t="shared" si="38"/>
        <v>0</v>
      </c>
      <c r="E96" s="6">
        <f t="shared" si="38"/>
        <v>2942.5738349616386</v>
      </c>
      <c r="F96" s="6">
        <f t="shared" si="38"/>
        <v>333.45365317281198</v>
      </c>
      <c r="G96" s="6">
        <f t="shared" si="38"/>
        <v>0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4">
      <c r="A97" s="4" t="s">
        <v>158</v>
      </c>
      <c r="C97" s="6">
        <f t="shared" si="38"/>
        <v>6461.658710132031</v>
      </c>
      <c r="D97" s="6">
        <f t="shared" si="38"/>
        <v>0</v>
      </c>
      <c r="E97" s="6">
        <f t="shared" si="38"/>
        <v>3014.7238987348942</v>
      </c>
      <c r="F97" s="6">
        <f t="shared" si="38"/>
        <v>341.62972748435328</v>
      </c>
      <c r="G97" s="6">
        <f t="shared" si="38"/>
        <v>0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4">
      <c r="A99" s="4" t="s">
        <v>159</v>
      </c>
      <c r="C99" s="6">
        <f t="shared" ref="C99:J99" si="39">C93/(((1+C16)*(1+C16+(C104-C16)*1/5)*(1+C16+(C104-C16)*2/5)*(1+C16+(C104-C16)*3/5)*(1+C16+(C104-C16)*4/5))*(1+C104)^1)</f>
        <v>3916.3430226919068</v>
      </c>
      <c r="D99" s="6">
        <f t="shared" si="39"/>
        <v>0</v>
      </c>
      <c r="E99" s="6">
        <f t="shared" si="39"/>
        <v>1788.0489691070998</v>
      </c>
      <c r="F99" s="6">
        <f t="shared" si="39"/>
        <v>194.40176469823885</v>
      </c>
      <c r="G99" s="6">
        <f t="shared" si="39"/>
        <v>0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4">
      <c r="A100" s="4" t="s">
        <v>160</v>
      </c>
      <c r="C100" s="6">
        <f t="shared" ref="C100:J100" si="40">C94/(((1+C16)*(1+C16+(C104-C16)*1/5)*(1+C16+(C104-C16)*2/5)*(1+C16+(C104-C16)*3/5)*(1+C16+(C104-C16)*4/5))*(1+C104)^2)</f>
        <v>3752.535306068346</v>
      </c>
      <c r="D100" s="6">
        <f t="shared" si="40"/>
        <v>0</v>
      </c>
      <c r="E100" s="6">
        <f t="shared" si="40"/>
        <v>1713.6977408437162</v>
      </c>
      <c r="F100" s="6">
        <f t="shared" si="40"/>
        <v>187.79354223245315</v>
      </c>
      <c r="G100" s="6">
        <f t="shared" si="40"/>
        <v>0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4">
      <c r="A101" s="4" t="s">
        <v>161</v>
      </c>
      <c r="C101" s="6">
        <f t="shared" ref="C101:J101" si="41">C95/(((1+C16)*(1+C16+(C104-C16)*1/5)*(1+C16+(C104-C16)*2/5)*(1+C16+(C104-C16)*3/5)*(1+C16+(C104-C16)*4/5))*(1+C104)^3)</f>
        <v>3588.9344693922908</v>
      </c>
      <c r="D101" s="6">
        <f t="shared" si="41"/>
        <v>0</v>
      </c>
      <c r="E101" s="6">
        <f t="shared" si="41"/>
        <v>1637.8221704624507</v>
      </c>
      <c r="F101" s="6">
        <f t="shared" si="41"/>
        <v>180.58702466031707</v>
      </c>
      <c r="G101" s="6">
        <f t="shared" si="41"/>
        <v>0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4">
      <c r="A102" s="4" t="s">
        <v>162</v>
      </c>
      <c r="C102" s="6">
        <f t="shared" ref="C102:J102" si="42">C96/(((1+C16)*(1+C16+(C104-C16)*1/5)*(1+C16+(C104-C16)*2/5)*(1+C16+(C104-C16)*3/5)*(1+C16+(C104-C16)*4/5))*(1+C104)^4)</f>
        <v>3426.1112392668633</v>
      </c>
      <c r="D102" s="6">
        <f t="shared" si="42"/>
        <v>0</v>
      </c>
      <c r="E102" s="6">
        <f t="shared" si="42"/>
        <v>1560.8944025231926</v>
      </c>
      <c r="F102" s="6">
        <f t="shared" si="42"/>
        <v>172.86570862432831</v>
      </c>
      <c r="G102" s="6">
        <f t="shared" si="42"/>
        <v>0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4">
      <c r="A103" s="4" t="s">
        <v>163</v>
      </c>
      <c r="C103" s="6">
        <f t="shared" ref="C103:J103" si="43">C97/(((1+C16)*(1+C16+(C104-C16)*1/5)*(1+C16+(C104-C16)*2/5)*(1+C16+(C104-C16)*3/5)*(1+C16+(C104-C16)*4/5))*(1+C104)^5)</f>
        <v>3264.6083399328554</v>
      </c>
      <c r="D103" s="6">
        <f t="shared" si="43"/>
        <v>0</v>
      </c>
      <c r="E103" s="6">
        <f t="shared" si="43"/>
        <v>1483.3754513583099</v>
      </c>
      <c r="F103" s="6">
        <f t="shared" si="43"/>
        <v>164.71702015844215</v>
      </c>
      <c r="G103" s="6">
        <f t="shared" si="43"/>
        <v>0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4" spans="1:11" x14ac:dyDescent="0.4">
      <c r="A104" s="4" t="s">
        <v>164</v>
      </c>
      <c r="C104" s="11">
        <f>MAX((Inputs!B18+((1+(1-Inputs!B22)*(Inputs!B36/(1-Inputs!B36)))/(1+(1-Inputs!B22)*0.25))*Inputs!B19+IF(ISBLANK(C17),Inputs!B24,C17)+Inputs!B25+Inputs!B39)*(1-Inputs!B36)+Inputs!B38*Inputs!B36,C15)</f>
        <v>7.5203200888142155E-2</v>
      </c>
      <c r="D104" s="11">
        <f>MAX((Inputs!B18+((1+(1-Inputs!B22)*(Inputs!B36/(1-Inputs!B36)))/(1+(1-Inputs!B22)*0.25))*Inputs!B19+IF(ISBLANK(D17),Inputs!B24,D17)+Inputs!B25+Inputs!B39)*(1-Inputs!B36)+Inputs!B38*Inputs!B36,D15)</f>
        <v>7.5203200888142155E-2</v>
      </c>
      <c r="E104" s="11">
        <f>MAX((Inputs!B18+((1+(1-Inputs!B22)*(Inputs!B36/(1-Inputs!B36)))/(1+(1-Inputs!B22)*0.25))*Inputs!B19+IF(ISBLANK(E17),Inputs!B24,E17)+Inputs!B25+Inputs!B39)*(1-Inputs!B36)+Inputs!B38*Inputs!B36,E15)</f>
        <v>7.8059200888142152E-2</v>
      </c>
      <c r="F104" s="11">
        <f>MAX((Inputs!B18+((1+(1-Inputs!B22)*(Inputs!B36/(1-Inputs!B36)))/(1+(1-Inputs!B22)*0.25))*Inputs!B19+IF(ISBLANK(F17),Inputs!B24,F17)+Inputs!B25+Inputs!B39)*(1-Inputs!B36)+Inputs!B38*Inputs!B36,F15)</f>
        <v>7.5203200888142155E-2</v>
      </c>
      <c r="G104" s="11">
        <f>MAX((Inputs!B18+((1+(1-Inputs!B22)*(Inputs!B36/(1-Inputs!B36)))/(1+(1-Inputs!B22)*0.25))*Inputs!B19+IF(ISBLANK(G17),Inputs!B24,G17)+Inputs!B25+Inputs!B39)*(1-Inputs!B36)+Inputs!B38*Inputs!B36,G15)</f>
        <v>7.5203200888142155E-2</v>
      </c>
      <c r="H104" s="11">
        <f>MAX((Inputs!B18+((1+(1-Inputs!B22)*(Inputs!B36/(1-Inputs!B36)))/(1+(1-Inputs!B22)*0.25))*Inputs!B19+IF(ISBLANK(H17),Inputs!B24,H17)+Inputs!B25+Inputs!B39)*(1-Inputs!B36)+Inputs!B38*Inputs!B36,H15)</f>
        <v>7.5203200888142155E-2</v>
      </c>
      <c r="I104" s="11">
        <f>MAX((Inputs!B18+((1+(1-Inputs!B22)*(Inputs!B36/(1-Inputs!B36)))/(1+(1-Inputs!B22)*0.25))*Inputs!B19+IF(ISBLANK(I17),Inputs!B24,I17)+Inputs!B25+Inputs!B39)*(1-Inputs!B36)+Inputs!B38*Inputs!B36,I15)</f>
        <v>7.5203200888142155E-2</v>
      </c>
      <c r="J104" s="11">
        <f>MAX((Inputs!B18+((1+(1-Inputs!B22)*(Inputs!B36/(1-Inputs!B36)))/(1+(1-Inputs!B22)*0.25))*Inputs!B19+IF(ISBLANK(J17),Inputs!B24,J17)+Inputs!B25+Inputs!B39)*(1-Inputs!B36)+Inputs!B38*Inputs!B36,J15)</f>
        <v>7.5203200888142155E-2</v>
      </c>
    </row>
    <row r="105" spans="1:11" x14ac:dyDescent="0.4">
      <c r="A105" s="4" t="s">
        <v>165</v>
      </c>
      <c r="C105" s="6">
        <f t="shared" ref="C105:J105" si="44">SUM(C57:C61,C99:C103)</f>
        <v>39692.180190813764</v>
      </c>
      <c r="D105" s="6">
        <f t="shared" si="44"/>
        <v>0</v>
      </c>
      <c r="E105" s="6">
        <f t="shared" si="44"/>
        <v>20039.234129908284</v>
      </c>
      <c r="F105" s="6">
        <f t="shared" si="44"/>
        <v>1967.469078254916</v>
      </c>
      <c r="G105" s="6">
        <f t="shared" si="44"/>
        <v>0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4">
      <c r="A106" s="4" t="s">
        <v>166</v>
      </c>
      <c r="C106" s="6">
        <f t="shared" ref="C106:J106" si="45">IF(C5=0,0,C97*(1+C13)/(C104-C13))</f>
        <v>130615.51837078978</v>
      </c>
      <c r="D106" s="6">
        <f t="shared" si="45"/>
        <v>0</v>
      </c>
      <c r="E106" s="6">
        <f t="shared" si="45"/>
        <v>57688.698786631983</v>
      </c>
      <c r="F106" s="6">
        <f t="shared" si="45"/>
        <v>6905.679477665989</v>
      </c>
      <c r="G106" s="6">
        <f t="shared" si="45"/>
        <v>0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4">
      <c r="A107" s="4" t="s">
        <v>167</v>
      </c>
      <c r="C107" s="6">
        <f t="shared" ref="C107:J107" si="46">C106/(((1+C16)*(1+C16+(C104-C16)*1/5)*(1+C16+(C104-C16)*2/5)*(1+C16+(C104-C16)*3/5)*(1+C16+(C104-C16)*4/5))*(1+C104)^5)</f>
        <v>65990.565228911728</v>
      </c>
      <c r="D107" s="6">
        <f t="shared" si="46"/>
        <v>0</v>
      </c>
      <c r="E107" s="6">
        <f t="shared" si="46"/>
        <v>28385.352183264371</v>
      </c>
      <c r="F107" s="6">
        <f t="shared" si="46"/>
        <v>3329.5783540457442</v>
      </c>
      <c r="G107" s="6">
        <f t="shared" si="46"/>
        <v>0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4">
      <c r="A109" s="19" t="s">
        <v>168</v>
      </c>
      <c r="C109" s="20">
        <f t="shared" ref="C109:J109" si="47">C105+C107</f>
        <v>105682.74541972548</v>
      </c>
      <c r="D109" s="20">
        <f t="shared" si="47"/>
        <v>0</v>
      </c>
      <c r="E109" s="20">
        <f t="shared" si="47"/>
        <v>48424.586313172651</v>
      </c>
      <c r="F109" s="20">
        <f t="shared" si="47"/>
        <v>5297.0474323006601</v>
      </c>
      <c r="G109" s="20">
        <f t="shared" si="47"/>
        <v>0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159404.3791651988</v>
      </c>
    </row>
    <row r="110" spans="1:11" x14ac:dyDescent="0.4">
      <c r="A110" s="4" t="s">
        <v>169</v>
      </c>
      <c r="K110" s="11">
        <f>IFERROR(SUMPRODUCT(C109:J109,C16:J16)/SUM(C109:J109),0)</f>
        <v>6.1503550300310572E-2</v>
      </c>
    </row>
    <row r="111" spans="1:11" x14ac:dyDescent="0.4">
      <c r="A111" s="4" t="s">
        <v>170</v>
      </c>
      <c r="K111" s="5">
        <f>96116-SUM(B135:J135)</f>
        <v>25217.049499999994</v>
      </c>
    </row>
    <row r="112" spans="1:11" x14ac:dyDescent="0.4">
      <c r="A112" s="4" t="s">
        <v>171</v>
      </c>
      <c r="K112" s="5">
        <v>2500</v>
      </c>
    </row>
    <row r="113" spans="1:11" x14ac:dyDescent="0.4">
      <c r="A113" s="4" t="s">
        <v>172</v>
      </c>
      <c r="K113" s="5">
        <v>-25709.349145128381</v>
      </c>
    </row>
    <row r="114" spans="1:11" x14ac:dyDescent="0.4">
      <c r="A114" s="4" t="s">
        <v>173</v>
      </c>
      <c r="K114" s="5">
        <f>0+SUM(B134:J134)</f>
        <v>148190.15438004959</v>
      </c>
    </row>
    <row r="115" spans="1:11" x14ac:dyDescent="0.4">
      <c r="A115" s="4" t="s">
        <v>174</v>
      </c>
      <c r="K115" s="5">
        <v>0</v>
      </c>
    </row>
    <row r="116" spans="1:11" x14ac:dyDescent="0.4">
      <c r="A116" s="4" t="s">
        <v>175</v>
      </c>
      <c r="K116" s="5">
        <v>-163.75</v>
      </c>
    </row>
    <row r="117" spans="1:11" x14ac:dyDescent="0.4">
      <c r="A117" s="4" t="s">
        <v>176</v>
      </c>
      <c r="K117" s="5">
        <v>0</v>
      </c>
    </row>
    <row r="118" spans="1:11" x14ac:dyDescent="0.4">
      <c r="A118" s="4" t="s">
        <v>177</v>
      </c>
      <c r="K118" s="5">
        <v>0</v>
      </c>
    </row>
    <row r="119" spans="1:11" x14ac:dyDescent="0.4">
      <c r="A119" s="4" t="s">
        <v>178</v>
      </c>
      <c r="K119" s="20">
        <f>K109+K113+K114+K115+K116+K117+K118-K111-K112</f>
        <v>254004.38490012</v>
      </c>
    </row>
    <row r="120" spans="1:11" x14ac:dyDescent="0.4">
      <c r="A120" s="4" t="s">
        <v>179</v>
      </c>
      <c r="K120" s="6">
        <f>Inputs!B11</f>
        <v>4871</v>
      </c>
    </row>
    <row r="122" spans="1:11" ht="15.9" customHeight="1" x14ac:dyDescent="0.45">
      <c r="A122" s="4" t="s">
        <v>180</v>
      </c>
      <c r="K122" s="21">
        <f>K119/K120</f>
        <v>52.14625023611579</v>
      </c>
    </row>
    <row r="124" spans="1:11" x14ac:dyDescent="0.4">
      <c r="A124" t="s">
        <v>181</v>
      </c>
    </row>
    <row r="125" spans="1:11" x14ac:dyDescent="0.4">
      <c r="A125" t="s">
        <v>182</v>
      </c>
      <c r="B125" t="s">
        <v>183</v>
      </c>
    </row>
    <row r="126" spans="1:11" x14ac:dyDescent="0.4">
      <c r="A126" t="s">
        <v>184</v>
      </c>
      <c r="B126" t="s">
        <v>185</v>
      </c>
    </row>
    <row r="127" spans="1:11" x14ac:dyDescent="0.4">
      <c r="A127" t="s">
        <v>186</v>
      </c>
      <c r="B127" t="s">
        <v>187</v>
      </c>
    </row>
    <row r="128" spans="1:11" x14ac:dyDescent="0.4">
      <c r="A128" t="s">
        <v>188</v>
      </c>
      <c r="B128">
        <v>0.86870000000000003</v>
      </c>
    </row>
    <row r="129" spans="1:2" x14ac:dyDescent="0.4">
      <c r="A129" t="s">
        <v>210</v>
      </c>
      <c r="B129">
        <v>400734.3</v>
      </c>
    </row>
    <row r="130" spans="1:2" x14ac:dyDescent="0.4">
      <c r="A130" t="s">
        <v>190</v>
      </c>
      <c r="B130">
        <v>81615</v>
      </c>
    </row>
    <row r="131" spans="1:2" x14ac:dyDescent="0.4">
      <c r="A131" t="s">
        <v>191</v>
      </c>
      <c r="B131">
        <f>B129-B130</f>
        <v>319119.3</v>
      </c>
    </row>
    <row r="132" spans="1:2" x14ac:dyDescent="0.4">
      <c r="A132" t="s">
        <v>192</v>
      </c>
      <c r="B132">
        <v>0.51400000000000001</v>
      </c>
    </row>
    <row r="133" spans="1:2" x14ac:dyDescent="0.4">
      <c r="A133" t="s">
        <v>193</v>
      </c>
      <c r="B133">
        <f>B131*B132</f>
        <v>164027.32019999999</v>
      </c>
    </row>
    <row r="134" spans="1:2" x14ac:dyDescent="0.4">
      <c r="A134" t="s">
        <v>194</v>
      </c>
      <c r="B134">
        <f>B133*B128*(1+B143)</f>
        <v>148190.15438004959</v>
      </c>
    </row>
    <row r="135" spans="1:2" x14ac:dyDescent="0.4">
      <c r="A135" t="s">
        <v>195</v>
      </c>
      <c r="B135">
        <f>B130*B128</f>
        <v>70898.950500000006</v>
      </c>
    </row>
    <row r="136" spans="1:2" x14ac:dyDescent="0.4">
      <c r="A136" t="s">
        <v>196</v>
      </c>
    </row>
    <row r="137" spans="1:2" x14ac:dyDescent="0.4">
      <c r="A137" t="s">
        <v>197</v>
      </c>
      <c r="B137" t="s">
        <v>198</v>
      </c>
    </row>
    <row r="138" spans="1:2" x14ac:dyDescent="0.4">
      <c r="A138" t="s">
        <v>199</v>
      </c>
      <c r="B138" t="s">
        <v>200</v>
      </c>
    </row>
    <row r="139" spans="1:2" x14ac:dyDescent="0.4">
      <c r="A139" t="s">
        <v>201</v>
      </c>
      <c r="B139" t="s">
        <v>202</v>
      </c>
    </row>
    <row r="140" spans="1:2" x14ac:dyDescent="0.4">
      <c r="A140" t="s">
        <v>203</v>
      </c>
      <c r="B140" t="s">
        <v>204</v>
      </c>
    </row>
    <row r="141" spans="1:2" x14ac:dyDescent="0.4">
      <c r="A141" t="s">
        <v>211</v>
      </c>
      <c r="B141" t="s">
        <v>212</v>
      </c>
    </row>
    <row r="142" spans="1:2" x14ac:dyDescent="0.4">
      <c r="A142" t="s">
        <v>207</v>
      </c>
      <c r="B142">
        <f>ABS(B134)*0.1/Inputs!B11</f>
        <v>3.0422942800256538</v>
      </c>
    </row>
    <row r="143" spans="1:2" x14ac:dyDescent="0.4">
      <c r="A143" t="s">
        <v>213</v>
      </c>
      <c r="B143">
        <v>0.04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43"/>
  <sheetViews>
    <sheetView workbookViewId="0"/>
  </sheetViews>
  <sheetFormatPr baseColWidth="10" defaultColWidth="9.23046875" defaultRowHeight="14.6" x14ac:dyDescent="0.4"/>
  <cols>
    <col min="1" max="1" width="30" customWidth="1"/>
    <col min="2" max="2" width="4" customWidth="1"/>
    <col min="3" max="11" width="14" customWidth="1"/>
  </cols>
  <sheetData>
    <row r="1" spans="1:11" ht="18.45" customHeight="1" x14ac:dyDescent="0.5">
      <c r="A1" s="1" t="s">
        <v>214</v>
      </c>
    </row>
    <row r="2" spans="1:11" x14ac:dyDescent="0.4">
      <c r="A2" s="2" t="s">
        <v>54</v>
      </c>
    </row>
    <row r="3" spans="1:11" x14ac:dyDescent="0.4">
      <c r="C3" s="13" t="s">
        <v>55</v>
      </c>
      <c r="D3" s="13" t="s">
        <v>56</v>
      </c>
      <c r="E3" s="13" t="s">
        <v>57</v>
      </c>
      <c r="F3" s="13" t="s">
        <v>58</v>
      </c>
      <c r="G3" s="13" t="s">
        <v>59</v>
      </c>
      <c r="H3" s="13" t="s">
        <v>60</v>
      </c>
      <c r="I3" s="13" t="s">
        <v>61</v>
      </c>
      <c r="J3" s="13" t="s">
        <v>62</v>
      </c>
      <c r="K3" s="13" t="s">
        <v>63</v>
      </c>
    </row>
    <row r="4" spans="1:11" x14ac:dyDescent="0.4">
      <c r="A4" s="4" t="s">
        <v>64</v>
      </c>
      <c r="C4" s="14" t="s">
        <v>55</v>
      </c>
      <c r="D4" s="14" t="s">
        <v>65</v>
      </c>
      <c r="E4" s="14" t="s">
        <v>57</v>
      </c>
      <c r="F4" s="14" t="s">
        <v>58</v>
      </c>
      <c r="G4" s="14"/>
      <c r="H4" s="14"/>
      <c r="I4" s="14"/>
      <c r="J4" s="14"/>
    </row>
    <row r="5" spans="1:11" x14ac:dyDescent="0.4">
      <c r="A5" s="4" t="s">
        <v>66</v>
      </c>
      <c r="C5" s="5">
        <v>25610</v>
      </c>
      <c r="D5" s="5"/>
      <c r="E5" s="5">
        <v>12652</v>
      </c>
      <c r="F5" s="5">
        <v>4103</v>
      </c>
      <c r="G5" s="5"/>
      <c r="H5" s="5"/>
      <c r="I5" s="5"/>
      <c r="J5" s="5"/>
    </row>
    <row r="6" spans="1:11" x14ac:dyDescent="0.4">
      <c r="A6" s="4" t="s">
        <v>67</v>
      </c>
      <c r="C6" s="7">
        <v>0.01</v>
      </c>
      <c r="D6" s="7"/>
      <c r="E6" s="7">
        <v>2.0961255132484351E-2</v>
      </c>
      <c r="F6" s="7">
        <v>1.1922510264968701E-2</v>
      </c>
      <c r="G6" s="7"/>
      <c r="H6" s="7"/>
      <c r="I6" s="7"/>
      <c r="J6" s="7"/>
    </row>
    <row r="7" spans="1:11" x14ac:dyDescent="0.4">
      <c r="A7" s="4" t="s">
        <v>68</v>
      </c>
      <c r="C7" s="7">
        <v>0.22740313783121091</v>
      </c>
      <c r="D7" s="7"/>
      <c r="E7" s="7">
        <v>0.182</v>
      </c>
      <c r="F7" s="7">
        <v>9.9999999999999985E-3</v>
      </c>
      <c r="G7" s="7"/>
      <c r="H7" s="7"/>
      <c r="I7" s="7"/>
      <c r="J7" s="7"/>
    </row>
    <row r="8" spans="1:11" x14ac:dyDescent="0.4">
      <c r="A8" s="4" t="s">
        <v>69</v>
      </c>
      <c r="C8" s="15">
        <v>0.25</v>
      </c>
      <c r="D8" s="15"/>
      <c r="E8" s="15">
        <v>0.19700000000000001</v>
      </c>
      <c r="F8" s="15">
        <v>2.1999999999999999E-2</v>
      </c>
      <c r="G8" s="15"/>
      <c r="H8" s="15"/>
      <c r="I8" s="15"/>
      <c r="J8" s="15"/>
    </row>
    <row r="9" spans="1:11" x14ac:dyDescent="0.4">
      <c r="A9" s="4" t="s">
        <v>70</v>
      </c>
      <c r="C9" s="7">
        <v>0.23740313783121089</v>
      </c>
      <c r="D9" s="7"/>
      <c r="E9" s="7">
        <v>0.1874031378312109</v>
      </c>
      <c r="F9" s="7">
        <v>1.4325648096179569E-2</v>
      </c>
      <c r="G9" s="7"/>
      <c r="H9" s="7"/>
      <c r="I9" s="7"/>
      <c r="J9" s="7"/>
    </row>
    <row r="10" spans="1:11" x14ac:dyDescent="0.4">
      <c r="A10" s="4" t="s">
        <v>71</v>
      </c>
      <c r="C10" s="7">
        <v>0.19</v>
      </c>
      <c r="D10" s="7"/>
      <c r="E10" s="7">
        <v>0.16</v>
      </c>
      <c r="F10" s="7">
        <v>5.3999999999999999E-2</v>
      </c>
      <c r="G10" s="7"/>
      <c r="H10" s="7"/>
      <c r="I10" s="7"/>
      <c r="J10" s="7"/>
    </row>
    <row r="11" spans="1:11" x14ac:dyDescent="0.4">
      <c r="A11" s="4" t="s">
        <v>72</v>
      </c>
      <c r="C11" s="7">
        <v>0.17499999999999999</v>
      </c>
      <c r="D11" s="7"/>
      <c r="E11" s="7">
        <v>0.20599999999999999</v>
      </c>
      <c r="F11" s="7">
        <v>6.0999999999999999E-2</v>
      </c>
      <c r="G11" s="7"/>
      <c r="H11" s="7"/>
      <c r="I11" s="7"/>
      <c r="J11" s="7"/>
    </row>
    <row r="12" spans="1:11" x14ac:dyDescent="0.4">
      <c r="A12" s="4" t="s">
        <v>73</v>
      </c>
      <c r="C12" s="7">
        <v>1.4999999999999999E-2</v>
      </c>
      <c r="D12" s="7"/>
      <c r="E12" s="7">
        <v>-4.5999999999999999E-2</v>
      </c>
      <c r="F12" s="7">
        <v>-7.0000000000000001E-3</v>
      </c>
      <c r="G12" s="7"/>
      <c r="H12" s="7"/>
      <c r="I12" s="7"/>
      <c r="J12" s="7"/>
    </row>
    <row r="13" spans="1:11" x14ac:dyDescent="0.4">
      <c r="A13" s="4" t="s">
        <v>74</v>
      </c>
      <c r="C13" s="7">
        <v>1.322094134936326E-2</v>
      </c>
      <c r="D13" s="7"/>
      <c r="E13" s="7">
        <v>1.322094134936326E-2</v>
      </c>
      <c r="F13" s="7">
        <v>1.322094134936326E-2</v>
      </c>
      <c r="G13" s="7"/>
      <c r="H13" s="7"/>
      <c r="I13" s="7"/>
      <c r="J13" s="7"/>
    </row>
    <row r="14" spans="1:11" x14ac:dyDescent="0.4">
      <c r="A14" s="4" t="s">
        <v>75</v>
      </c>
      <c r="C14" s="9">
        <v>0.48899999999999999</v>
      </c>
      <c r="D14" s="9"/>
      <c r="E14" s="9">
        <v>0.48899999999999999</v>
      </c>
      <c r="F14" s="9">
        <v>0.97799999999999998</v>
      </c>
      <c r="G14" s="9"/>
      <c r="H14" s="9"/>
      <c r="I14" s="9"/>
      <c r="J14" s="9"/>
    </row>
    <row r="15" spans="1:11" x14ac:dyDescent="0.4">
      <c r="A15" s="4" t="s">
        <v>76</v>
      </c>
      <c r="C15" s="7">
        <v>0</v>
      </c>
      <c r="D15" s="7"/>
      <c r="E15" s="7">
        <v>0</v>
      </c>
      <c r="F15" s="7">
        <v>0</v>
      </c>
      <c r="G15" s="7"/>
      <c r="H15" s="7"/>
      <c r="I15" s="7"/>
      <c r="J15" s="7"/>
    </row>
    <row r="16" spans="1:11" x14ac:dyDescent="0.4">
      <c r="A16" s="4" t="s">
        <v>77</v>
      </c>
      <c r="C16" s="11">
        <f>MAX((MAX(Inputs!B18+((1-0.33)*C14*(1+(1-Inputs!B22)*Inputs!B21)+0.33)*Inputs!B19+IF(ISBLANK(C17),Inputs!B24,C17)+Inputs!B25+Inputs!B39,MIN(Inputs!B27,0.08)+0.025))*Inputs!B29+Inputs!B28*Inputs!B30,C15)</f>
        <v>6.0103121418066993E-2</v>
      </c>
      <c r="D16" s="11">
        <f>MAX((MAX(Inputs!B18+((1-0.33)*D14*(1+(1-Inputs!B22)*Inputs!B21)+0.33)*Inputs!B19+IF(ISBLANK(D17),Inputs!B24,D17)+Inputs!B25+Inputs!B39,MIN(Inputs!B27,0.08)+0.025))*Inputs!B29+Inputs!B28*Inputs!B30,D15)</f>
        <v>5.2919298050139285E-2</v>
      </c>
      <c r="E16" s="11">
        <f>MAX((MAX(Inputs!B18+((1-0.33)*E14*(1+(1-Inputs!B22)*Inputs!B21)+0.33)*Inputs!B19+IF(ISBLANK(E17),Inputs!B24,E17)+Inputs!B25+Inputs!B39,MIN(Inputs!B27,0.08)+0.025))*Inputs!B29+Inputs!B28*Inputs!B30,E15)</f>
        <v>6.2888636738401255E-2</v>
      </c>
      <c r="F16" s="11">
        <f>MAX((MAX(Inputs!B18+((1-0.33)*F14*(1+(1-Inputs!B22)*Inputs!B21)+0.33)*Inputs!B19+IF(ISBLANK(F17),Inputs!B24,F17)+Inputs!B25+Inputs!B39,MIN(Inputs!B27,0.08)+0.025))*Inputs!B29+Inputs!B28*Inputs!B30,F15)</f>
        <v>7.6781671235108678E-2</v>
      </c>
      <c r="G16" s="11">
        <f>MAX((MAX(Inputs!B18+((1-0.33)*G14*(1+(1-Inputs!B22)*Inputs!B21)+0.33)*Inputs!B19+IF(ISBLANK(G17),Inputs!B24,G17)+Inputs!B25+Inputs!B39,MIN(Inputs!B27,0.08)+0.025))*Inputs!B29+Inputs!B28*Inputs!B30,G15)</f>
        <v>5.2919298050139285E-2</v>
      </c>
      <c r="H16" s="11">
        <f>MAX((MAX(Inputs!B18+((1-0.33)*H14*(1+(1-Inputs!B22)*Inputs!B21)+0.33)*Inputs!B19+IF(ISBLANK(H17),Inputs!B24,H17)+Inputs!B25+Inputs!B39,MIN(Inputs!B27,0.08)+0.025))*Inputs!B29+Inputs!B28*Inputs!B30,H15)</f>
        <v>5.2919298050139285E-2</v>
      </c>
      <c r="I16" s="11">
        <f>MAX((MAX(Inputs!B18+((1-0.33)*I14*(1+(1-Inputs!B22)*Inputs!B21)+0.33)*Inputs!B19+IF(ISBLANK(I17),Inputs!B24,I17)+Inputs!B25+Inputs!B39,MIN(Inputs!B27,0.08)+0.025))*Inputs!B29+Inputs!B28*Inputs!B30,I15)</f>
        <v>5.2919298050139285E-2</v>
      </c>
      <c r="J16" s="11">
        <f>MAX((MAX(Inputs!B18+((1-0.33)*J14*(1+(1-Inputs!B22)*Inputs!B21)+0.33)*Inputs!B19+IF(ISBLANK(J17),Inputs!B24,J17)+Inputs!B25+Inputs!B39,MIN(Inputs!B27,0.08)+0.025))*Inputs!B29+Inputs!B28*Inputs!B30,J15)</f>
        <v>5.2919298050139285E-2</v>
      </c>
    </row>
    <row r="17" spans="1:10" x14ac:dyDescent="0.4">
      <c r="A17" s="16" t="s">
        <v>78</v>
      </c>
      <c r="C17" s="7"/>
      <c r="D17" s="7"/>
      <c r="E17" s="7">
        <v>0.01</v>
      </c>
      <c r="F17" s="7"/>
      <c r="G17" s="7"/>
      <c r="H17" s="7"/>
      <c r="I17" s="7"/>
      <c r="J17" s="7"/>
    </row>
    <row r="18" spans="1:10" ht="40" customHeight="1" x14ac:dyDescent="0.4">
      <c r="A18" s="17" t="s">
        <v>79</v>
      </c>
      <c r="C18" s="18" t="s">
        <v>80</v>
      </c>
      <c r="D18" s="35" t="s">
        <v>81</v>
      </c>
      <c r="E18" s="18" t="s">
        <v>82</v>
      </c>
      <c r="F18" s="18" t="s">
        <v>83</v>
      </c>
      <c r="G18" s="18"/>
      <c r="H18" s="18"/>
      <c r="I18" s="18"/>
      <c r="J18" s="18"/>
    </row>
    <row r="19" spans="1:10" ht="40" customHeight="1" x14ac:dyDescent="0.4">
      <c r="A19" s="17" t="s">
        <v>84</v>
      </c>
      <c r="C19" s="18" t="s">
        <v>85</v>
      </c>
      <c r="D19" s="18"/>
      <c r="E19" s="18" t="s">
        <v>86</v>
      </c>
      <c r="F19" s="18" t="s">
        <v>87</v>
      </c>
      <c r="G19" s="18"/>
      <c r="H19" s="18"/>
      <c r="I19" s="18"/>
      <c r="J19" s="18"/>
    </row>
    <row r="20" spans="1:10" ht="28" customHeight="1" x14ac:dyDescent="0.4">
      <c r="A20" s="17" t="s">
        <v>88</v>
      </c>
      <c r="C20" s="18" t="s">
        <v>89</v>
      </c>
      <c r="D20" s="18"/>
      <c r="E20" s="18" t="s">
        <v>90</v>
      </c>
      <c r="F20" s="18" t="s">
        <v>91</v>
      </c>
      <c r="G20" s="18"/>
      <c r="H20" s="18"/>
      <c r="I20" s="18"/>
      <c r="J20" s="18"/>
    </row>
    <row r="21" spans="1:10" x14ac:dyDescent="0.4">
      <c r="A21" s="4" t="s">
        <v>92</v>
      </c>
      <c r="C21" s="6">
        <f t="shared" ref="C21:J21" si="0">C5*(1+C6)^1</f>
        <v>25866.1</v>
      </c>
      <c r="D21" s="6">
        <f t="shared" si="0"/>
        <v>0</v>
      </c>
      <c r="E21" s="6">
        <f t="shared" si="0"/>
        <v>12917.201799936191</v>
      </c>
      <c r="F21" s="6">
        <f t="shared" si="0"/>
        <v>4151.9180596171664</v>
      </c>
      <c r="G21" s="6">
        <f t="shared" si="0"/>
        <v>0</v>
      </c>
      <c r="H21" s="6">
        <f t="shared" si="0"/>
        <v>0</v>
      </c>
      <c r="I21" s="6">
        <f t="shared" si="0"/>
        <v>0</v>
      </c>
      <c r="J21" s="6">
        <f t="shared" si="0"/>
        <v>0</v>
      </c>
    </row>
    <row r="22" spans="1:10" x14ac:dyDescent="0.4">
      <c r="A22" s="4" t="s">
        <v>93</v>
      </c>
      <c r="C22" s="6">
        <f t="shared" ref="C22:J22" si="1">C5*(1+C6)^2</f>
        <v>26124.760999999999</v>
      </c>
      <c r="D22" s="6">
        <f t="shared" si="1"/>
        <v>0</v>
      </c>
      <c r="E22" s="6">
        <f t="shared" si="1"/>
        <v>13187.962562462437</v>
      </c>
      <c r="F22" s="6">
        <f t="shared" si="1"/>
        <v>4201.4193453022608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</row>
    <row r="23" spans="1:10" x14ac:dyDescent="0.4">
      <c r="A23" s="4" t="s">
        <v>94</v>
      </c>
      <c r="C23" s="6">
        <f t="shared" ref="C23:J23" si="2">C5*(1+C6)^3</f>
        <v>26386.008609999997</v>
      </c>
      <c r="D23" s="6">
        <f t="shared" si="2"/>
        <v>0</v>
      </c>
      <c r="E23" s="6">
        <f t="shared" si="2"/>
        <v>13464.398810411863</v>
      </c>
      <c r="F23" s="6">
        <f t="shared" si="2"/>
        <v>4251.5108105740655</v>
      </c>
      <c r="G23" s="6">
        <f t="shared" si="2"/>
        <v>0</v>
      </c>
      <c r="H23" s="6">
        <f t="shared" si="2"/>
        <v>0</v>
      </c>
      <c r="I23" s="6">
        <f t="shared" si="2"/>
        <v>0</v>
      </c>
      <c r="J23" s="6">
        <f t="shared" si="2"/>
        <v>0</v>
      </c>
    </row>
    <row r="24" spans="1:10" x14ac:dyDescent="0.4">
      <c r="A24" s="4" t="s">
        <v>95</v>
      </c>
      <c r="C24" s="6">
        <f t="shared" ref="C24:J24" si="3">C5*(1+C6)^4</f>
        <v>26649.868696100002</v>
      </c>
      <c r="D24" s="6">
        <f t="shared" si="3"/>
        <v>0</v>
      </c>
      <c r="E24" s="6">
        <f t="shared" si="3"/>
        <v>13746.629509082422</v>
      </c>
      <c r="F24" s="6">
        <f t="shared" si="3"/>
        <v>4302.1994918547607</v>
      </c>
      <c r="G24" s="6">
        <f t="shared" si="3"/>
        <v>0</v>
      </c>
      <c r="H24" s="6">
        <f t="shared" si="3"/>
        <v>0</v>
      </c>
      <c r="I24" s="6">
        <f t="shared" si="3"/>
        <v>0</v>
      </c>
      <c r="J24" s="6">
        <f t="shared" si="3"/>
        <v>0</v>
      </c>
    </row>
    <row r="25" spans="1:10" x14ac:dyDescent="0.4">
      <c r="A25" s="4" t="s">
        <v>96</v>
      </c>
      <c r="C25" s="6">
        <f t="shared" ref="C25:J25" si="4">C5*(1+C6)^5</f>
        <v>26916.367383060999</v>
      </c>
      <c r="D25" s="6">
        <f t="shared" si="4"/>
        <v>0</v>
      </c>
      <c r="E25" s="6">
        <f t="shared" si="4"/>
        <v>14034.776117434036</v>
      </c>
      <c r="F25" s="6">
        <f t="shared" si="4"/>
        <v>4353.4925094583423</v>
      </c>
      <c r="G25" s="6">
        <f t="shared" si="4"/>
        <v>0</v>
      </c>
      <c r="H25" s="6">
        <f t="shared" si="4"/>
        <v>0</v>
      </c>
      <c r="I25" s="6">
        <f t="shared" si="4"/>
        <v>0</v>
      </c>
      <c r="J25" s="6">
        <f t="shared" si="4"/>
        <v>0</v>
      </c>
    </row>
    <row r="26" spans="1:10" x14ac:dyDescent="0.4">
      <c r="A26" s="4" t="s">
        <v>97</v>
      </c>
      <c r="C26" s="7"/>
      <c r="D26" s="7"/>
      <c r="E26" s="7">
        <v>-0.03</v>
      </c>
      <c r="F26" s="7"/>
      <c r="G26" s="7"/>
      <c r="H26" s="7"/>
      <c r="I26" s="7"/>
      <c r="J26" s="7"/>
    </row>
    <row r="27" spans="1:10" x14ac:dyDescent="0.4">
      <c r="A27" s="4" t="s">
        <v>98</v>
      </c>
      <c r="C27" s="11">
        <f t="shared" ref="C27:J27" si="5">IF(ISBLANK(C9),C7,C7+(C9-C7)*(0)/4)</f>
        <v>0.22740313783121091</v>
      </c>
      <c r="D27" s="11">
        <f t="shared" si="5"/>
        <v>0</v>
      </c>
      <c r="E27" s="11">
        <f t="shared" si="5"/>
        <v>0.182</v>
      </c>
      <c r="F27" s="11">
        <f t="shared" si="5"/>
        <v>9.9999999999999985E-3</v>
      </c>
      <c r="G27" s="11">
        <f t="shared" si="5"/>
        <v>0</v>
      </c>
      <c r="H27" s="11">
        <f t="shared" si="5"/>
        <v>0</v>
      </c>
      <c r="I27" s="11">
        <f t="shared" si="5"/>
        <v>0</v>
      </c>
      <c r="J27" s="11">
        <f t="shared" si="5"/>
        <v>0</v>
      </c>
    </row>
    <row r="28" spans="1:10" x14ac:dyDescent="0.4">
      <c r="A28" s="4" t="s">
        <v>99</v>
      </c>
      <c r="C28" s="11">
        <f t="shared" ref="C28:J28" si="6">IF(ISBLANK(C9),C7,C7+(C9-C7)*(1)/4)</f>
        <v>0.22990313783121091</v>
      </c>
      <c r="D28" s="11">
        <f t="shared" si="6"/>
        <v>0</v>
      </c>
      <c r="E28" s="11">
        <f t="shared" si="6"/>
        <v>0.18335078445780273</v>
      </c>
      <c r="F28" s="11">
        <f t="shared" si="6"/>
        <v>1.1081412024044892E-2</v>
      </c>
      <c r="G28" s="11">
        <f t="shared" si="6"/>
        <v>0</v>
      </c>
      <c r="H28" s="11">
        <f t="shared" si="6"/>
        <v>0</v>
      </c>
      <c r="I28" s="11">
        <f t="shared" si="6"/>
        <v>0</v>
      </c>
      <c r="J28" s="11">
        <f t="shared" si="6"/>
        <v>0</v>
      </c>
    </row>
    <row r="29" spans="1:10" x14ac:dyDescent="0.4">
      <c r="A29" s="4" t="s">
        <v>100</v>
      </c>
      <c r="C29" s="11">
        <f t="shared" ref="C29:J29" si="7">IF(ISBLANK(C9),C7,C7+(C9-C7)*(2)/4)</f>
        <v>0.23240313783121092</v>
      </c>
      <c r="D29" s="11">
        <f t="shared" si="7"/>
        <v>0</v>
      </c>
      <c r="E29" s="11">
        <f t="shared" si="7"/>
        <v>0.18470156891560546</v>
      </c>
      <c r="F29" s="11">
        <f t="shared" si="7"/>
        <v>1.2162824048089785E-2</v>
      </c>
      <c r="G29" s="11">
        <f t="shared" si="7"/>
        <v>0</v>
      </c>
      <c r="H29" s="11">
        <f t="shared" si="7"/>
        <v>0</v>
      </c>
      <c r="I29" s="11">
        <f t="shared" si="7"/>
        <v>0</v>
      </c>
      <c r="J29" s="11">
        <f t="shared" si="7"/>
        <v>0</v>
      </c>
    </row>
    <row r="30" spans="1:10" x14ac:dyDescent="0.4">
      <c r="A30" s="4" t="s">
        <v>101</v>
      </c>
      <c r="C30" s="11">
        <f t="shared" ref="C30:J30" si="8">IF(ISBLANK(C9),C7,C7+(C9-C7)*(3)/4)</f>
        <v>0.23490313783121089</v>
      </c>
      <c r="D30" s="11">
        <f t="shared" si="8"/>
        <v>0</v>
      </c>
      <c r="E30" s="11">
        <f t="shared" si="8"/>
        <v>0.18605235337340817</v>
      </c>
      <c r="F30" s="11">
        <f t="shared" si="8"/>
        <v>1.3244236072134676E-2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</row>
    <row r="31" spans="1:10" x14ac:dyDescent="0.4">
      <c r="A31" s="4" t="s">
        <v>102</v>
      </c>
      <c r="C31" s="11">
        <f t="shared" ref="C31:J31" si="9">IF(ISBLANK(C9),C7,C7+(C9-C7)*(4)/4)</f>
        <v>0.23740313783121089</v>
      </c>
      <c r="D31" s="11">
        <f t="shared" si="9"/>
        <v>0</v>
      </c>
      <c r="E31" s="11">
        <f t="shared" si="9"/>
        <v>0.1874031378312109</v>
      </c>
      <c r="F31" s="11">
        <f t="shared" si="9"/>
        <v>1.4325648096179569E-2</v>
      </c>
      <c r="G31" s="11">
        <f t="shared" si="9"/>
        <v>0</v>
      </c>
      <c r="H31" s="11">
        <f t="shared" si="9"/>
        <v>0</v>
      </c>
      <c r="I31" s="11">
        <f t="shared" si="9"/>
        <v>0</v>
      </c>
      <c r="J31" s="11">
        <f t="shared" si="9"/>
        <v>0</v>
      </c>
    </row>
    <row r="33" spans="1:10" x14ac:dyDescent="0.4">
      <c r="A33" s="4" t="s">
        <v>103</v>
      </c>
      <c r="C33" s="6">
        <f t="shared" ref="C33:J37" si="10">C21*C27</f>
        <v>5882.0323034558842</v>
      </c>
      <c r="D33" s="6">
        <f t="shared" si="10"/>
        <v>0</v>
      </c>
      <c r="E33" s="6">
        <f t="shared" si="10"/>
        <v>2350.9307275883866</v>
      </c>
      <c r="F33" s="6">
        <f t="shared" si="10"/>
        <v>41.519180596171658</v>
      </c>
      <c r="G33" s="6">
        <f t="shared" si="10"/>
        <v>0</v>
      </c>
      <c r="H33" s="6">
        <f t="shared" si="10"/>
        <v>0</v>
      </c>
      <c r="I33" s="6">
        <f t="shared" si="10"/>
        <v>0</v>
      </c>
      <c r="J33" s="6">
        <f t="shared" si="10"/>
        <v>0</v>
      </c>
    </row>
    <row r="34" spans="1:10" x14ac:dyDescent="0.4">
      <c r="A34" s="4" t="s">
        <v>104</v>
      </c>
      <c r="C34" s="6">
        <f t="shared" si="10"/>
        <v>6006.1645289904427</v>
      </c>
      <c r="D34" s="6">
        <f t="shared" si="10"/>
        <v>0</v>
      </c>
      <c r="E34" s="6">
        <f t="shared" si="10"/>
        <v>2418.0232812276222</v>
      </c>
      <c r="F34" s="6">
        <f t="shared" si="10"/>
        <v>46.55765885108729</v>
      </c>
      <c r="G34" s="6">
        <f t="shared" si="10"/>
        <v>0</v>
      </c>
      <c r="H34" s="6">
        <f t="shared" si="10"/>
        <v>0</v>
      </c>
      <c r="I34" s="6">
        <f t="shared" si="10"/>
        <v>0</v>
      </c>
      <c r="J34" s="6">
        <f t="shared" si="10"/>
        <v>0</v>
      </c>
    </row>
    <row r="35" spans="1:10" x14ac:dyDescent="0.4">
      <c r="A35" s="4" t="s">
        <v>105</v>
      </c>
      <c r="C35" s="6">
        <f t="shared" si="10"/>
        <v>6132.191195805347</v>
      </c>
      <c r="D35" s="6">
        <f t="shared" si="10"/>
        <v>0</v>
      </c>
      <c r="E35" s="6">
        <f t="shared" si="10"/>
        <v>2486.8955847884831</v>
      </c>
      <c r="F35" s="6">
        <f t="shared" si="10"/>
        <v>51.71037792756394</v>
      </c>
      <c r="G35" s="6">
        <f t="shared" si="10"/>
        <v>0</v>
      </c>
      <c r="H35" s="6">
        <f t="shared" si="10"/>
        <v>0</v>
      </c>
      <c r="I35" s="6">
        <f t="shared" si="10"/>
        <v>0</v>
      </c>
      <c r="J35" s="6">
        <f t="shared" si="10"/>
        <v>0</v>
      </c>
    </row>
    <row r="36" spans="1:10" x14ac:dyDescent="0.4">
      <c r="A36" s="4" t="s">
        <v>106</v>
      </c>
      <c r="C36" s="6">
        <f t="shared" si="10"/>
        <v>6260.1377795036515</v>
      </c>
      <c r="D36" s="6">
        <f t="shared" si="10"/>
        <v>0</v>
      </c>
      <c r="E36" s="6">
        <f t="shared" si="10"/>
        <v>2557.5927711171234</v>
      </c>
      <c r="F36" s="6">
        <f t="shared" si="10"/>
        <v>56.979345699542293</v>
      </c>
      <c r="G36" s="6">
        <f t="shared" si="10"/>
        <v>0</v>
      </c>
      <c r="H36" s="6">
        <f t="shared" si="10"/>
        <v>0</v>
      </c>
      <c r="I36" s="6">
        <f t="shared" si="10"/>
        <v>0</v>
      </c>
      <c r="J36" s="6">
        <f t="shared" si="10"/>
        <v>0</v>
      </c>
    </row>
    <row r="37" spans="1:10" x14ac:dyDescent="0.4">
      <c r="A37" s="4" t="s">
        <v>107</v>
      </c>
      <c r="C37" s="6">
        <f t="shared" si="10"/>
        <v>6390.0300757563391</v>
      </c>
      <c r="D37" s="6">
        <f t="shared" si="10"/>
        <v>0</v>
      </c>
      <c r="E37" s="6">
        <f t="shared" si="10"/>
        <v>2630.1610831656776</v>
      </c>
      <c r="F37" s="6">
        <f t="shared" si="10"/>
        <v>62.366601679853915</v>
      </c>
      <c r="G37" s="6">
        <f t="shared" si="10"/>
        <v>0</v>
      </c>
      <c r="H37" s="6">
        <f t="shared" si="10"/>
        <v>0</v>
      </c>
      <c r="I37" s="6">
        <f t="shared" si="10"/>
        <v>0</v>
      </c>
      <c r="J37" s="6">
        <f t="shared" si="10"/>
        <v>0</v>
      </c>
    </row>
    <row r="39" spans="1:10" x14ac:dyDescent="0.4">
      <c r="A39" s="4" t="s">
        <v>108</v>
      </c>
      <c r="C39" s="6">
        <f>C33*(1-Inputs!B22)</f>
        <v>4370.350001467722</v>
      </c>
      <c r="D39" s="6">
        <f>D33*(1-Inputs!B22)</f>
        <v>0</v>
      </c>
      <c r="E39" s="6">
        <f>E33*(1-Inputs!B22)</f>
        <v>1746.7415305981713</v>
      </c>
      <c r="F39" s="6">
        <f>F33*(1-Inputs!B22)</f>
        <v>30.848751182955542</v>
      </c>
      <c r="G39" s="6">
        <f>G33*(1-Inputs!B22)</f>
        <v>0</v>
      </c>
      <c r="H39" s="6">
        <f>H33*(1-Inputs!B22)</f>
        <v>0</v>
      </c>
      <c r="I39" s="6">
        <f>I33*(1-Inputs!B22)</f>
        <v>0</v>
      </c>
      <c r="J39" s="6">
        <f>J33*(1-Inputs!B22)</f>
        <v>0</v>
      </c>
    </row>
    <row r="40" spans="1:10" x14ac:dyDescent="0.4">
      <c r="A40" s="4" t="s">
        <v>109</v>
      </c>
      <c r="C40" s="6">
        <f>C34*(1-Inputs!B22)</f>
        <v>4462.5802450398987</v>
      </c>
      <c r="D40" s="6">
        <f>D34*(1-Inputs!B22)</f>
        <v>0</v>
      </c>
      <c r="E40" s="6">
        <f>E34*(1-Inputs!B22)</f>
        <v>1796.5912979521233</v>
      </c>
      <c r="F40" s="6">
        <f>F34*(1-Inputs!B22)</f>
        <v>34.592340526357859</v>
      </c>
      <c r="G40" s="6">
        <f>G34*(1-Inputs!B22)</f>
        <v>0</v>
      </c>
      <c r="H40" s="6">
        <f>H34*(1-Inputs!B22)</f>
        <v>0</v>
      </c>
      <c r="I40" s="6">
        <f>I34*(1-Inputs!B22)</f>
        <v>0</v>
      </c>
      <c r="J40" s="6">
        <f>J34*(1-Inputs!B22)</f>
        <v>0</v>
      </c>
    </row>
    <row r="41" spans="1:10" x14ac:dyDescent="0.4">
      <c r="A41" s="4" t="s">
        <v>110</v>
      </c>
      <c r="C41" s="6">
        <f>C35*(1-Inputs!B22)</f>
        <v>4556.2180584833732</v>
      </c>
      <c r="D41" s="6">
        <f>D35*(1-Inputs!B22)</f>
        <v>0</v>
      </c>
      <c r="E41" s="6">
        <f>E35*(1-Inputs!B22)</f>
        <v>1847.763419497843</v>
      </c>
      <c r="F41" s="6">
        <f>F35*(1-Inputs!B22)</f>
        <v>38.420810800180007</v>
      </c>
      <c r="G41" s="6">
        <f>G35*(1-Inputs!B22)</f>
        <v>0</v>
      </c>
      <c r="H41" s="6">
        <f>H35*(1-Inputs!B22)</f>
        <v>0</v>
      </c>
      <c r="I41" s="6">
        <f>I35*(1-Inputs!B22)</f>
        <v>0</v>
      </c>
      <c r="J41" s="6">
        <f>J35*(1-Inputs!B22)</f>
        <v>0</v>
      </c>
    </row>
    <row r="42" spans="1:10" x14ac:dyDescent="0.4">
      <c r="A42" s="4" t="s">
        <v>111</v>
      </c>
      <c r="C42" s="6">
        <f>C36*(1-Inputs!B22)</f>
        <v>4651.2823701712132</v>
      </c>
      <c r="D42" s="6">
        <f>D36*(1-Inputs!B22)</f>
        <v>0</v>
      </c>
      <c r="E42" s="6">
        <f>E36*(1-Inputs!B22)</f>
        <v>1900.2914289400228</v>
      </c>
      <c r="F42" s="6">
        <f>F36*(1-Inputs!B22)</f>
        <v>42.335653854759926</v>
      </c>
      <c r="G42" s="6">
        <f>G36*(1-Inputs!B22)</f>
        <v>0</v>
      </c>
      <c r="H42" s="6">
        <f>H36*(1-Inputs!B22)</f>
        <v>0</v>
      </c>
      <c r="I42" s="6">
        <f>I36*(1-Inputs!B22)</f>
        <v>0</v>
      </c>
      <c r="J42" s="6">
        <f>J36*(1-Inputs!B22)</f>
        <v>0</v>
      </c>
    </row>
    <row r="43" spans="1:10" x14ac:dyDescent="0.4">
      <c r="A43" s="4" t="s">
        <v>112</v>
      </c>
      <c r="C43" s="6">
        <f>C37*(1-Inputs!B22)</f>
        <v>4747.7923462869603</v>
      </c>
      <c r="D43" s="6">
        <f>D37*(1-Inputs!B22)</f>
        <v>0</v>
      </c>
      <c r="E43" s="6">
        <f>E37*(1-Inputs!B22)</f>
        <v>1954.2096847920984</v>
      </c>
      <c r="F43" s="6">
        <f>F37*(1-Inputs!B22)</f>
        <v>46.338385048131457</v>
      </c>
      <c r="G43" s="6">
        <f>G37*(1-Inputs!B22)</f>
        <v>0</v>
      </c>
      <c r="H43" s="6">
        <f>H37*(1-Inputs!B22)</f>
        <v>0</v>
      </c>
      <c r="I43" s="6">
        <f>I37*(1-Inputs!B22)</f>
        <v>0</v>
      </c>
      <c r="J43" s="6">
        <f>J37*(1-Inputs!B22)</f>
        <v>0</v>
      </c>
    </row>
    <row r="45" spans="1:10" x14ac:dyDescent="0.4">
      <c r="A45" s="4" t="s">
        <v>113</v>
      </c>
      <c r="C45" s="6">
        <f t="shared" ref="C45:J45" si="11">C21*IF(ISBLANK(C26),C12,C12+(C26-C12)*(0)/4)</f>
        <v>387.99149999999997</v>
      </c>
      <c r="D45" s="6">
        <f t="shared" si="11"/>
        <v>0</v>
      </c>
      <c r="E45" s="6">
        <f t="shared" si="11"/>
        <v>-594.19128279706479</v>
      </c>
      <c r="F45" s="6">
        <f t="shared" si="11"/>
        <v>-29.063426417320166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</row>
    <row r="46" spans="1:10" x14ac:dyDescent="0.4">
      <c r="A46" s="4" t="s">
        <v>114</v>
      </c>
      <c r="C46" s="6">
        <f t="shared" ref="C46:J46" si="12">C22*IF(ISBLANK(C26),C12,C12+(C26-C12)*(1)/4)</f>
        <v>391.87141499999996</v>
      </c>
      <c r="D46" s="6">
        <f t="shared" si="12"/>
        <v>0</v>
      </c>
      <c r="E46" s="6">
        <f t="shared" si="12"/>
        <v>-553.8944276234223</v>
      </c>
      <c r="F46" s="6">
        <f t="shared" si="12"/>
        <v>-29.409935417115825</v>
      </c>
      <c r="G46" s="6">
        <f t="shared" si="12"/>
        <v>0</v>
      </c>
      <c r="H46" s="6">
        <f t="shared" si="12"/>
        <v>0</v>
      </c>
      <c r="I46" s="6">
        <f t="shared" si="12"/>
        <v>0</v>
      </c>
      <c r="J46" s="6">
        <f t="shared" si="12"/>
        <v>0</v>
      </c>
    </row>
    <row r="47" spans="1:10" x14ac:dyDescent="0.4">
      <c r="A47" s="4" t="s">
        <v>115</v>
      </c>
      <c r="C47" s="6">
        <f t="shared" ref="C47:J47" si="13">C23*IF(ISBLANK(C26),C12,C12+(C26-C12)*(2)/4)</f>
        <v>395.79012914999993</v>
      </c>
      <c r="D47" s="6">
        <f t="shared" si="13"/>
        <v>0</v>
      </c>
      <c r="E47" s="6">
        <f t="shared" si="13"/>
        <v>-511.64715479565081</v>
      </c>
      <c r="F47" s="6">
        <f t="shared" si="13"/>
        <v>-29.760575674018458</v>
      </c>
      <c r="G47" s="6">
        <f t="shared" si="13"/>
        <v>0</v>
      </c>
      <c r="H47" s="6">
        <f t="shared" si="13"/>
        <v>0</v>
      </c>
      <c r="I47" s="6">
        <f t="shared" si="13"/>
        <v>0</v>
      </c>
      <c r="J47" s="6">
        <f t="shared" si="13"/>
        <v>0</v>
      </c>
    </row>
    <row r="48" spans="1:10" x14ac:dyDescent="0.4">
      <c r="A48" s="4" t="s">
        <v>116</v>
      </c>
      <c r="C48" s="6">
        <f t="shared" ref="C48:J48" si="14">C24*IF(ISBLANK(C26),C12,C12+(C26-C12)*(3)/4)</f>
        <v>399.74803044150002</v>
      </c>
      <c r="D48" s="6">
        <f t="shared" si="14"/>
        <v>0</v>
      </c>
      <c r="E48" s="6">
        <f t="shared" si="14"/>
        <v>-467.38540330880238</v>
      </c>
      <c r="F48" s="6">
        <f t="shared" si="14"/>
        <v>-30.115396442983325</v>
      </c>
      <c r="G48" s="6">
        <f t="shared" si="14"/>
        <v>0</v>
      </c>
      <c r="H48" s="6">
        <f t="shared" si="14"/>
        <v>0</v>
      </c>
      <c r="I48" s="6">
        <f t="shared" si="14"/>
        <v>0</v>
      </c>
      <c r="J48" s="6">
        <f t="shared" si="14"/>
        <v>0</v>
      </c>
    </row>
    <row r="49" spans="1:10" x14ac:dyDescent="0.4">
      <c r="A49" s="4" t="s">
        <v>117</v>
      </c>
      <c r="C49" s="6">
        <f t="shared" ref="C49:J49" si="15">C25*IF(ISBLANK(C26),C12,C12+(C26-C12)*(4)/4)</f>
        <v>403.74551074591494</v>
      </c>
      <c r="D49" s="6">
        <f t="shared" si="15"/>
        <v>0</v>
      </c>
      <c r="E49" s="6">
        <f t="shared" si="15"/>
        <v>-421.04328352302105</v>
      </c>
      <c r="F49" s="6">
        <f t="shared" si="15"/>
        <v>-30.474447566208397</v>
      </c>
      <c r="G49" s="6">
        <f t="shared" si="15"/>
        <v>0</v>
      </c>
      <c r="H49" s="6">
        <f t="shared" si="15"/>
        <v>0</v>
      </c>
      <c r="I49" s="6">
        <f t="shared" si="15"/>
        <v>0</v>
      </c>
      <c r="J49" s="6">
        <f t="shared" si="15"/>
        <v>0</v>
      </c>
    </row>
    <row r="51" spans="1:10" x14ac:dyDescent="0.4">
      <c r="A51" s="4" t="s">
        <v>118</v>
      </c>
      <c r="C51" s="6">
        <f t="shared" ref="C51:J55" si="16">C39-C45</f>
        <v>3982.3585014677219</v>
      </c>
      <c r="D51" s="6">
        <f t="shared" si="16"/>
        <v>0</v>
      </c>
      <c r="E51" s="6">
        <f t="shared" si="16"/>
        <v>2340.9328133952358</v>
      </c>
      <c r="F51" s="6">
        <f t="shared" si="16"/>
        <v>59.912177600275712</v>
      </c>
      <c r="G51" s="6">
        <f t="shared" si="16"/>
        <v>0</v>
      </c>
      <c r="H51" s="6">
        <f t="shared" si="16"/>
        <v>0</v>
      </c>
      <c r="I51" s="6">
        <f t="shared" si="16"/>
        <v>0</v>
      </c>
      <c r="J51" s="6">
        <f t="shared" si="16"/>
        <v>0</v>
      </c>
    </row>
    <row r="52" spans="1:10" x14ac:dyDescent="0.4">
      <c r="A52" s="4" t="s">
        <v>119</v>
      </c>
      <c r="C52" s="6">
        <f t="shared" si="16"/>
        <v>4070.7088300398987</v>
      </c>
      <c r="D52" s="6">
        <f t="shared" si="16"/>
        <v>0</v>
      </c>
      <c r="E52" s="6">
        <f t="shared" si="16"/>
        <v>2350.4857255755455</v>
      </c>
      <c r="F52" s="6">
        <f t="shared" si="16"/>
        <v>64.002275943473677</v>
      </c>
      <c r="G52" s="6">
        <f t="shared" si="16"/>
        <v>0</v>
      </c>
      <c r="H52" s="6">
        <f t="shared" si="16"/>
        <v>0</v>
      </c>
      <c r="I52" s="6">
        <f t="shared" si="16"/>
        <v>0</v>
      </c>
      <c r="J52" s="6">
        <f t="shared" si="16"/>
        <v>0</v>
      </c>
    </row>
    <row r="53" spans="1:10" x14ac:dyDescent="0.4">
      <c r="A53" s="4" t="s">
        <v>120</v>
      </c>
      <c r="C53" s="6">
        <f t="shared" si="16"/>
        <v>4160.427929333373</v>
      </c>
      <c r="D53" s="6">
        <f t="shared" si="16"/>
        <v>0</v>
      </c>
      <c r="E53" s="6">
        <f t="shared" si="16"/>
        <v>2359.4105742934939</v>
      </c>
      <c r="F53" s="6">
        <f t="shared" si="16"/>
        <v>68.181386474198462</v>
      </c>
      <c r="G53" s="6">
        <f t="shared" si="16"/>
        <v>0</v>
      </c>
      <c r="H53" s="6">
        <f t="shared" si="16"/>
        <v>0</v>
      </c>
      <c r="I53" s="6">
        <f t="shared" si="16"/>
        <v>0</v>
      </c>
      <c r="J53" s="6">
        <f t="shared" si="16"/>
        <v>0</v>
      </c>
    </row>
    <row r="54" spans="1:10" x14ac:dyDescent="0.4">
      <c r="A54" s="4" t="s">
        <v>121</v>
      </c>
      <c r="C54" s="6">
        <f t="shared" si="16"/>
        <v>4251.5343397297129</v>
      </c>
      <c r="D54" s="6">
        <f t="shared" si="16"/>
        <v>0</v>
      </c>
      <c r="E54" s="6">
        <f t="shared" si="16"/>
        <v>2367.6768322488251</v>
      </c>
      <c r="F54" s="6">
        <f t="shared" si="16"/>
        <v>72.451050297743251</v>
      </c>
      <c r="G54" s="6">
        <f t="shared" si="16"/>
        <v>0</v>
      </c>
      <c r="H54" s="6">
        <f t="shared" si="16"/>
        <v>0</v>
      </c>
      <c r="I54" s="6">
        <f t="shared" si="16"/>
        <v>0</v>
      </c>
      <c r="J54" s="6">
        <f t="shared" si="16"/>
        <v>0</v>
      </c>
    </row>
    <row r="55" spans="1:10" x14ac:dyDescent="0.4">
      <c r="A55" s="4" t="s">
        <v>122</v>
      </c>
      <c r="C55" s="6">
        <f t="shared" si="16"/>
        <v>4344.0468355410458</v>
      </c>
      <c r="D55" s="6">
        <f t="shared" si="16"/>
        <v>0</v>
      </c>
      <c r="E55" s="6">
        <f t="shared" si="16"/>
        <v>2375.2529683151197</v>
      </c>
      <c r="F55" s="6">
        <f t="shared" si="16"/>
        <v>76.812832614339854</v>
      </c>
      <c r="G55" s="6">
        <f t="shared" si="16"/>
        <v>0</v>
      </c>
      <c r="H55" s="6">
        <f t="shared" si="16"/>
        <v>0</v>
      </c>
      <c r="I55" s="6">
        <f t="shared" si="16"/>
        <v>0</v>
      </c>
      <c r="J55" s="6">
        <f t="shared" si="16"/>
        <v>0</v>
      </c>
    </row>
    <row r="57" spans="1:10" x14ac:dyDescent="0.4">
      <c r="A57" s="4" t="s">
        <v>123</v>
      </c>
      <c r="C57" s="6">
        <f t="shared" ref="C57:J57" si="17">C51/((1+C16))</f>
        <v>3756.5765263860794</v>
      </c>
      <c r="D57" s="6">
        <f t="shared" si="17"/>
        <v>0</v>
      </c>
      <c r="E57" s="6">
        <f t="shared" si="17"/>
        <v>2202.4252894251117</v>
      </c>
      <c r="F57" s="6">
        <f t="shared" si="17"/>
        <v>55.640042174523842</v>
      </c>
      <c r="G57" s="6">
        <f t="shared" si="17"/>
        <v>0</v>
      </c>
      <c r="H57" s="6">
        <f t="shared" si="17"/>
        <v>0</v>
      </c>
      <c r="I57" s="6">
        <f t="shared" si="17"/>
        <v>0</v>
      </c>
      <c r="J57" s="6">
        <f t="shared" si="17"/>
        <v>0</v>
      </c>
    </row>
    <row r="58" spans="1:10" x14ac:dyDescent="0.4">
      <c r="A58" s="4" t="s">
        <v>124</v>
      </c>
      <c r="C58" s="6">
        <f t="shared" ref="C58:J58" si="18">C52/((1+C16)*(1+C16+(C104-C16)*1/5))</f>
        <v>3611.9219405490608</v>
      </c>
      <c r="D58" s="6">
        <f t="shared" si="18"/>
        <v>0</v>
      </c>
      <c r="E58" s="6">
        <f t="shared" si="18"/>
        <v>2074.6465717255137</v>
      </c>
      <c r="F58" s="6">
        <f t="shared" si="18"/>
        <v>55.216319561483466</v>
      </c>
      <c r="G58" s="6">
        <f t="shared" si="18"/>
        <v>0</v>
      </c>
      <c r="H58" s="6">
        <f t="shared" si="18"/>
        <v>0</v>
      </c>
      <c r="I58" s="6">
        <f t="shared" si="18"/>
        <v>0</v>
      </c>
      <c r="J58" s="6">
        <f t="shared" si="18"/>
        <v>0</v>
      </c>
    </row>
    <row r="59" spans="1:10" x14ac:dyDescent="0.4">
      <c r="A59" s="4" t="s">
        <v>125</v>
      </c>
      <c r="C59" s="6">
        <f t="shared" ref="C59:J59" si="19">C53/((1+C16)*(1+C16+(C104-C16)*1/5)*(1+C16+(C104-C16)*2/5))</f>
        <v>3462.508096996411</v>
      </c>
      <c r="D59" s="6">
        <f t="shared" si="19"/>
        <v>0</v>
      </c>
      <c r="E59" s="6">
        <f t="shared" si="19"/>
        <v>1948.1834356886973</v>
      </c>
      <c r="F59" s="6">
        <f t="shared" si="19"/>
        <v>54.659410259102089</v>
      </c>
      <c r="G59" s="6">
        <f t="shared" si="19"/>
        <v>0</v>
      </c>
      <c r="H59" s="6">
        <f t="shared" si="19"/>
        <v>0</v>
      </c>
      <c r="I59" s="6">
        <f t="shared" si="19"/>
        <v>0</v>
      </c>
      <c r="J59" s="6">
        <f t="shared" si="19"/>
        <v>0</v>
      </c>
    </row>
    <row r="60" spans="1:10" x14ac:dyDescent="0.4">
      <c r="A60" s="4" t="s">
        <v>126</v>
      </c>
      <c r="C60" s="6">
        <f t="shared" ref="C60:J60" si="20">C54/((1+C16)*(1+C16+(C104-C16)*1/5)*(1+C16+(C104-C16)*2/5)*(1+C16+(C104-C16)*3/5))</f>
        <v>3309.4398807310822</v>
      </c>
      <c r="D60" s="6">
        <f t="shared" si="20"/>
        <v>0</v>
      </c>
      <c r="E60" s="6">
        <f t="shared" si="20"/>
        <v>1823.7177304275431</v>
      </c>
      <c r="F60" s="6">
        <f t="shared" si="20"/>
        <v>53.988131342609456</v>
      </c>
      <c r="G60" s="6">
        <f t="shared" si="20"/>
        <v>0</v>
      </c>
      <c r="H60" s="6">
        <f t="shared" si="20"/>
        <v>0</v>
      </c>
      <c r="I60" s="6">
        <f t="shared" si="20"/>
        <v>0</v>
      </c>
      <c r="J60" s="6">
        <f t="shared" si="20"/>
        <v>0</v>
      </c>
    </row>
    <row r="61" spans="1:10" x14ac:dyDescent="0.4">
      <c r="A61" s="4" t="s">
        <v>127</v>
      </c>
      <c r="C61" s="6">
        <f t="shared" ref="C61:J61" si="21">C55/((1+C16)*(1+C16+(C104-C16)*1/5)*(1+C16+(C104-C16)*2/5)*(1+C16+(C104-C16)*3/5)*(1+C16+(C104-C16)*4/5))</f>
        <v>3153.801184321419</v>
      </c>
      <c r="D61" s="6">
        <f t="shared" si="21"/>
        <v>0</v>
      </c>
      <c r="E61" s="6">
        <f t="shared" si="21"/>
        <v>1701.8703251064496</v>
      </c>
      <c r="F61" s="6">
        <f t="shared" si="21"/>
        <v>53.219323088704861</v>
      </c>
      <c r="G61" s="6">
        <f t="shared" si="21"/>
        <v>0</v>
      </c>
      <c r="H61" s="6">
        <f t="shared" si="21"/>
        <v>0</v>
      </c>
      <c r="I61" s="6">
        <f t="shared" si="21"/>
        <v>0</v>
      </c>
      <c r="J61" s="6">
        <f t="shared" si="21"/>
        <v>0</v>
      </c>
    </row>
    <row r="62" spans="1:10" x14ac:dyDescent="0.4">
      <c r="A62" s="3" t="s">
        <v>128</v>
      </c>
    </row>
    <row r="63" spans="1:10" x14ac:dyDescent="0.4">
      <c r="A63" s="4" t="s">
        <v>129</v>
      </c>
      <c r="C63" s="6">
        <f t="shared" ref="C63:J63" si="22">C25*(1+(C6+(C13-C6)*1/5))</f>
        <v>27202.870265027359</v>
      </c>
      <c r="D63" s="6">
        <f t="shared" si="22"/>
        <v>0</v>
      </c>
      <c r="E63" s="6">
        <f t="shared" si="22"/>
        <v>14307.23592615391</v>
      </c>
      <c r="F63" s="6">
        <f t="shared" si="22"/>
        <v>4406.5276105908151</v>
      </c>
      <c r="G63" s="6">
        <f t="shared" si="22"/>
        <v>0</v>
      </c>
      <c r="H63" s="6">
        <f t="shared" si="22"/>
        <v>0</v>
      </c>
      <c r="I63" s="6">
        <f t="shared" si="22"/>
        <v>0</v>
      </c>
      <c r="J63" s="6">
        <f t="shared" si="22"/>
        <v>0</v>
      </c>
    </row>
    <row r="64" spans="1:10" x14ac:dyDescent="0.4">
      <c r="A64" s="4" t="s">
        <v>130</v>
      </c>
      <c r="C64" s="6">
        <f t="shared" ref="C64:J64" si="23">C63*(1+(C6+(C13-C6)*2/5))</f>
        <v>27509.94650754083</v>
      </c>
      <c r="D64" s="6">
        <f t="shared" si="23"/>
        <v>0</v>
      </c>
      <c r="E64" s="6">
        <f t="shared" si="23"/>
        <v>14562.836550467637</v>
      </c>
      <c r="F64" s="6">
        <f t="shared" si="23"/>
        <v>4461.353110230486</v>
      </c>
      <c r="G64" s="6">
        <f t="shared" si="23"/>
        <v>0</v>
      </c>
      <c r="H64" s="6">
        <f t="shared" si="23"/>
        <v>0</v>
      </c>
      <c r="I64" s="6">
        <f t="shared" si="23"/>
        <v>0</v>
      </c>
      <c r="J64" s="6">
        <f t="shared" si="23"/>
        <v>0</v>
      </c>
    </row>
    <row r="65" spans="1:10" x14ac:dyDescent="0.4">
      <c r="A65" s="4" t="s">
        <v>131</v>
      </c>
      <c r="C65" s="6">
        <f t="shared" ref="C65:J65" si="24">C64*(1+(C6+(C13-C6)*3/5))</f>
        <v>27838.210727151185</v>
      </c>
      <c r="D65" s="6">
        <f t="shared" si="24"/>
        <v>0</v>
      </c>
      <c r="E65" s="6">
        <f t="shared" si="24"/>
        <v>14800.459328170904</v>
      </c>
      <c r="F65" s="6">
        <f t="shared" si="24"/>
        <v>4518.0192942169288</v>
      </c>
      <c r="G65" s="6">
        <f t="shared" si="24"/>
        <v>0</v>
      </c>
      <c r="H65" s="6">
        <f t="shared" si="24"/>
        <v>0</v>
      </c>
      <c r="I65" s="6">
        <f t="shared" si="24"/>
        <v>0</v>
      </c>
      <c r="J65" s="6">
        <f t="shared" si="24"/>
        <v>0</v>
      </c>
    </row>
    <row r="66" spans="1:10" x14ac:dyDescent="0.4">
      <c r="A66" s="4" t="s">
        <v>132</v>
      </c>
      <c r="C66" s="6">
        <f t="shared" ref="C66:J66" si="25">C65*(1+(C6+(C13-C6)*4/5))</f>
        <v>28188.325029641393</v>
      </c>
      <c r="D66" s="6">
        <f t="shared" si="25"/>
        <v>0</v>
      </c>
      <c r="E66" s="6">
        <f t="shared" si="25"/>
        <v>15019.047372759162</v>
      </c>
      <c r="F66" s="6">
        <f t="shared" si="25"/>
        <v>4576.5784949827612</v>
      </c>
      <c r="G66" s="6">
        <f t="shared" si="25"/>
        <v>0</v>
      </c>
      <c r="H66" s="6">
        <f t="shared" si="25"/>
        <v>0</v>
      </c>
      <c r="I66" s="6">
        <f t="shared" si="25"/>
        <v>0</v>
      </c>
      <c r="J66" s="6">
        <f t="shared" si="25"/>
        <v>0</v>
      </c>
    </row>
    <row r="67" spans="1:10" x14ac:dyDescent="0.4">
      <c r="A67" s="4" t="s">
        <v>133</v>
      </c>
      <c r="C67" s="6">
        <f t="shared" ref="C67:J67" si="26">C66*(1+(C6+(C13-C6)*5/5))</f>
        <v>28561.001221595074</v>
      </c>
      <c r="D67" s="6">
        <f t="shared" si="26"/>
        <v>0</v>
      </c>
      <c r="E67" s="6">
        <f t="shared" si="26"/>
        <v>15217.61331719772</v>
      </c>
      <c r="F67" s="6">
        <f t="shared" si="26"/>
        <v>4637.0851708456858</v>
      </c>
      <c r="G67" s="6">
        <f t="shared" si="26"/>
        <v>0</v>
      </c>
      <c r="H67" s="6">
        <f t="shared" si="26"/>
        <v>0</v>
      </c>
      <c r="I67" s="6">
        <f t="shared" si="26"/>
        <v>0</v>
      </c>
      <c r="J67" s="6">
        <f t="shared" si="26"/>
        <v>0</v>
      </c>
    </row>
    <row r="69" spans="1:10" x14ac:dyDescent="0.4">
      <c r="A69" s="4" t="s">
        <v>134</v>
      </c>
      <c r="C69" s="11">
        <f t="shared" ref="C69:J69" si="27">IF(ISBLANK(C9),C7,C9)</f>
        <v>0.23740313783121089</v>
      </c>
      <c r="D69" s="11">
        <f t="shared" si="27"/>
        <v>0</v>
      </c>
      <c r="E69" s="11">
        <f t="shared" si="27"/>
        <v>0.1874031378312109</v>
      </c>
      <c r="F69" s="11">
        <f t="shared" si="27"/>
        <v>1.4325648096179569E-2</v>
      </c>
      <c r="G69" s="11">
        <f t="shared" si="27"/>
        <v>0</v>
      </c>
      <c r="H69" s="11">
        <f t="shared" si="27"/>
        <v>0</v>
      </c>
      <c r="I69" s="11">
        <f t="shared" si="27"/>
        <v>0</v>
      </c>
      <c r="J69" s="11">
        <f t="shared" si="27"/>
        <v>0</v>
      </c>
    </row>
    <row r="70" spans="1:10" x14ac:dyDescent="0.4">
      <c r="A70" s="4" t="s">
        <v>135</v>
      </c>
      <c r="C70" s="11">
        <f t="shared" ref="C70:J70" si="28">IF(ISBLANK(C9),C7,C9)</f>
        <v>0.23740313783121089</v>
      </c>
      <c r="D70" s="11">
        <f t="shared" si="28"/>
        <v>0</v>
      </c>
      <c r="E70" s="11">
        <f t="shared" si="28"/>
        <v>0.1874031378312109</v>
      </c>
      <c r="F70" s="11">
        <f t="shared" si="28"/>
        <v>1.4325648096179569E-2</v>
      </c>
      <c r="G70" s="11">
        <f t="shared" si="28"/>
        <v>0</v>
      </c>
      <c r="H70" s="11">
        <f t="shared" si="28"/>
        <v>0</v>
      </c>
      <c r="I70" s="11">
        <f t="shared" si="28"/>
        <v>0</v>
      </c>
      <c r="J70" s="11">
        <f t="shared" si="28"/>
        <v>0</v>
      </c>
    </row>
    <row r="71" spans="1:10" x14ac:dyDescent="0.4">
      <c r="A71" s="4" t="s">
        <v>136</v>
      </c>
      <c r="C71" s="11">
        <f t="shared" ref="C71:J71" si="29">IF(ISBLANK(C9),C7,C9)</f>
        <v>0.23740313783121089</v>
      </c>
      <c r="D71" s="11">
        <f t="shared" si="29"/>
        <v>0</v>
      </c>
      <c r="E71" s="11">
        <f t="shared" si="29"/>
        <v>0.1874031378312109</v>
      </c>
      <c r="F71" s="11">
        <f t="shared" si="29"/>
        <v>1.4325648096179569E-2</v>
      </c>
      <c r="G71" s="11">
        <f t="shared" si="29"/>
        <v>0</v>
      </c>
      <c r="H71" s="11">
        <f t="shared" si="29"/>
        <v>0</v>
      </c>
      <c r="I71" s="11">
        <f t="shared" si="29"/>
        <v>0</v>
      </c>
      <c r="J71" s="11">
        <f t="shared" si="29"/>
        <v>0</v>
      </c>
    </row>
    <row r="72" spans="1:10" x14ac:dyDescent="0.4">
      <c r="A72" s="4" t="s">
        <v>137</v>
      </c>
      <c r="C72" s="11">
        <f t="shared" ref="C72:J72" si="30">IF(ISBLANK(C9),C7,C9)</f>
        <v>0.23740313783121089</v>
      </c>
      <c r="D72" s="11">
        <f t="shared" si="30"/>
        <v>0</v>
      </c>
      <c r="E72" s="11">
        <f t="shared" si="30"/>
        <v>0.1874031378312109</v>
      </c>
      <c r="F72" s="11">
        <f t="shared" si="30"/>
        <v>1.4325648096179569E-2</v>
      </c>
      <c r="G72" s="11">
        <f t="shared" si="30"/>
        <v>0</v>
      </c>
      <c r="H72" s="11">
        <f t="shared" si="30"/>
        <v>0</v>
      </c>
      <c r="I72" s="11">
        <f t="shared" si="30"/>
        <v>0</v>
      </c>
      <c r="J72" s="11">
        <f t="shared" si="30"/>
        <v>0</v>
      </c>
    </row>
    <row r="73" spans="1:10" x14ac:dyDescent="0.4">
      <c r="A73" s="4" t="s">
        <v>138</v>
      </c>
      <c r="C73" s="11">
        <f t="shared" ref="C73:J73" si="31">IF(ISBLANK(C9),C7,C9)</f>
        <v>0.23740313783121089</v>
      </c>
      <c r="D73" s="11">
        <f t="shared" si="31"/>
        <v>0</v>
      </c>
      <c r="E73" s="11">
        <f t="shared" si="31"/>
        <v>0.1874031378312109</v>
      </c>
      <c r="F73" s="11">
        <f t="shared" si="31"/>
        <v>1.4325648096179569E-2</v>
      </c>
      <c r="G73" s="11">
        <f t="shared" si="31"/>
        <v>0</v>
      </c>
      <c r="H73" s="11">
        <f t="shared" si="31"/>
        <v>0</v>
      </c>
      <c r="I73" s="11">
        <f t="shared" si="31"/>
        <v>0</v>
      </c>
      <c r="J73" s="11">
        <f t="shared" si="31"/>
        <v>0</v>
      </c>
    </row>
    <row r="75" spans="1:10" x14ac:dyDescent="0.4">
      <c r="A75" s="4" t="s">
        <v>139</v>
      </c>
      <c r="C75" s="6">
        <f t="shared" ref="C75:J79" si="32">C63*C69</f>
        <v>6458.0467589328382</v>
      </c>
      <c r="D75" s="6">
        <f t="shared" si="32"/>
        <v>0</v>
      </c>
      <c r="E75" s="6">
        <f t="shared" si="32"/>
        <v>2681.2209062526736</v>
      </c>
      <c r="F75" s="6">
        <f t="shared" si="32"/>
        <v>63.126363875423017</v>
      </c>
      <c r="G75" s="6">
        <f t="shared" si="32"/>
        <v>0</v>
      </c>
      <c r="H75" s="6">
        <f t="shared" si="32"/>
        <v>0</v>
      </c>
      <c r="I75" s="6">
        <f t="shared" si="32"/>
        <v>0</v>
      </c>
      <c r="J75" s="6">
        <f t="shared" si="32"/>
        <v>0</v>
      </c>
    </row>
    <row r="76" spans="1:10" x14ac:dyDescent="0.4">
      <c r="A76" s="4" t="s">
        <v>140</v>
      </c>
      <c r="C76" s="6">
        <f t="shared" si="32"/>
        <v>6530.9476224589544</v>
      </c>
      <c r="D76" s="6">
        <f t="shared" si="32"/>
        <v>0</v>
      </c>
      <c r="E76" s="6">
        <f t="shared" si="32"/>
        <v>2729.1212652806826</v>
      </c>
      <c r="F76" s="6">
        <f t="shared" si="32"/>
        <v>63.911774689958165</v>
      </c>
      <c r="G76" s="6">
        <f t="shared" si="32"/>
        <v>0</v>
      </c>
      <c r="H76" s="6">
        <f t="shared" si="32"/>
        <v>0</v>
      </c>
      <c r="I76" s="6">
        <f t="shared" si="32"/>
        <v>0</v>
      </c>
      <c r="J76" s="6">
        <f t="shared" si="32"/>
        <v>0</v>
      </c>
    </row>
    <row r="77" spans="1:10" x14ac:dyDescent="0.4">
      <c r="A77" s="4" t="s">
        <v>141</v>
      </c>
      <c r="C77" s="6">
        <f t="shared" si="32"/>
        <v>6608.8785782321665</v>
      </c>
      <c r="D77" s="6">
        <f t="shared" si="32"/>
        <v>0</v>
      </c>
      <c r="E77" s="6">
        <f t="shared" si="32"/>
        <v>2773.652519442443</v>
      </c>
      <c r="F77" s="6">
        <f t="shared" si="32"/>
        <v>64.723554500701312</v>
      </c>
      <c r="G77" s="6">
        <f t="shared" si="32"/>
        <v>0</v>
      </c>
      <c r="H77" s="6">
        <f t="shared" si="32"/>
        <v>0</v>
      </c>
      <c r="I77" s="6">
        <f t="shared" si="32"/>
        <v>0</v>
      </c>
      <c r="J77" s="6">
        <f t="shared" si="32"/>
        <v>0</v>
      </c>
    </row>
    <row r="78" spans="1:10" x14ac:dyDescent="0.4">
      <c r="A78" s="4" t="s">
        <v>142</v>
      </c>
      <c r="C78" s="6">
        <f t="shared" si="32"/>
        <v>6691.9968122429273</v>
      </c>
      <c r="D78" s="6">
        <f t="shared" si="32"/>
        <v>0</v>
      </c>
      <c r="E78" s="6">
        <f t="shared" si="32"/>
        <v>2814.6166048906712</v>
      </c>
      <c r="F78" s="6">
        <f t="shared" si="32"/>
        <v>65.56245300366615</v>
      </c>
      <c r="G78" s="6">
        <f t="shared" si="32"/>
        <v>0</v>
      </c>
      <c r="H78" s="6">
        <f t="shared" si="32"/>
        <v>0</v>
      </c>
      <c r="I78" s="6">
        <f t="shared" si="32"/>
        <v>0</v>
      </c>
      <c r="J78" s="6">
        <f t="shared" si="32"/>
        <v>0</v>
      </c>
    </row>
    <row r="79" spans="1:10" x14ac:dyDescent="0.4">
      <c r="A79" s="4" t="s">
        <v>143</v>
      </c>
      <c r="C79" s="6">
        <f t="shared" si="32"/>
        <v>6780.4713096077176</v>
      </c>
      <c r="D79" s="6">
        <f t="shared" si="32"/>
        <v>0</v>
      </c>
      <c r="E79" s="6">
        <f t="shared" si="32"/>
        <v>2851.828485944875</v>
      </c>
      <c r="F79" s="6">
        <f t="shared" si="32"/>
        <v>66.429250349548013</v>
      </c>
      <c r="G79" s="6">
        <f t="shared" si="32"/>
        <v>0</v>
      </c>
      <c r="H79" s="6">
        <f t="shared" si="32"/>
        <v>0</v>
      </c>
      <c r="I79" s="6">
        <f t="shared" si="32"/>
        <v>0</v>
      </c>
      <c r="J79" s="6">
        <f t="shared" si="32"/>
        <v>0</v>
      </c>
    </row>
    <row r="81" spans="1:10" x14ac:dyDescent="0.4">
      <c r="A81" s="4" t="s">
        <v>144</v>
      </c>
      <c r="C81" s="6">
        <f>C75*(1-Inputs!B22)</f>
        <v>4798.3287418870987</v>
      </c>
      <c r="D81" s="6">
        <f>D75*(1-Inputs!B22)</f>
        <v>0</v>
      </c>
      <c r="E81" s="6">
        <f>E75*(1-Inputs!B22)</f>
        <v>1992.1471333457364</v>
      </c>
      <c r="F81" s="6">
        <f>F75*(1-Inputs!B22)</f>
        <v>46.902888359439302</v>
      </c>
      <c r="G81" s="6">
        <f>G75*(1-Inputs!B22)</f>
        <v>0</v>
      </c>
      <c r="H81" s="6">
        <f>H75*(1-Inputs!B22)</f>
        <v>0</v>
      </c>
      <c r="I81" s="6">
        <f>I75*(1-Inputs!B22)</f>
        <v>0</v>
      </c>
      <c r="J81" s="6">
        <f>J75*(1-Inputs!B22)</f>
        <v>0</v>
      </c>
    </row>
    <row r="82" spans="1:10" x14ac:dyDescent="0.4">
      <c r="A82" s="4" t="s">
        <v>145</v>
      </c>
      <c r="C82" s="6">
        <f>C76*(1-Inputs!B22)</f>
        <v>4852.4940834870031</v>
      </c>
      <c r="D82" s="6">
        <f>D76*(1-Inputs!B22)</f>
        <v>0</v>
      </c>
      <c r="E82" s="6">
        <f>E76*(1-Inputs!B22)</f>
        <v>2027.7371001035472</v>
      </c>
      <c r="F82" s="6">
        <f>F76*(1-Inputs!B22)</f>
        <v>47.486448594638915</v>
      </c>
      <c r="G82" s="6">
        <f>G76*(1-Inputs!B22)</f>
        <v>0</v>
      </c>
      <c r="H82" s="6">
        <f>H76*(1-Inputs!B22)</f>
        <v>0</v>
      </c>
      <c r="I82" s="6">
        <f>I76*(1-Inputs!B22)</f>
        <v>0</v>
      </c>
      <c r="J82" s="6">
        <f>J76*(1-Inputs!B22)</f>
        <v>0</v>
      </c>
    </row>
    <row r="83" spans="1:10" x14ac:dyDescent="0.4">
      <c r="A83" s="4" t="s">
        <v>146</v>
      </c>
      <c r="C83" s="6">
        <f>C77*(1-Inputs!B22)</f>
        <v>4910.3967836265001</v>
      </c>
      <c r="D83" s="6">
        <f>D77*(1-Inputs!B22)</f>
        <v>0</v>
      </c>
      <c r="E83" s="6">
        <f>E77*(1-Inputs!B22)</f>
        <v>2060.8238219457353</v>
      </c>
      <c r="F83" s="6">
        <f>F77*(1-Inputs!B22)</f>
        <v>48.089600994021076</v>
      </c>
      <c r="G83" s="6">
        <f>G77*(1-Inputs!B22)</f>
        <v>0</v>
      </c>
      <c r="H83" s="6">
        <f>H77*(1-Inputs!B22)</f>
        <v>0</v>
      </c>
      <c r="I83" s="6">
        <f>I77*(1-Inputs!B22)</f>
        <v>0</v>
      </c>
      <c r="J83" s="6">
        <f>J77*(1-Inputs!B22)</f>
        <v>0</v>
      </c>
    </row>
    <row r="84" spans="1:10" x14ac:dyDescent="0.4">
      <c r="A84" s="4" t="s">
        <v>147</v>
      </c>
      <c r="C84" s="6">
        <f>C78*(1-Inputs!B22)</f>
        <v>4972.1536314964951</v>
      </c>
      <c r="D84" s="6">
        <f>D78*(1-Inputs!B22)</f>
        <v>0</v>
      </c>
      <c r="E84" s="6">
        <f>E78*(1-Inputs!B22)</f>
        <v>2091.2601374337687</v>
      </c>
      <c r="F84" s="6">
        <f>F78*(1-Inputs!B22)</f>
        <v>48.712902581723952</v>
      </c>
      <c r="G84" s="6">
        <f>G78*(1-Inputs!B22)</f>
        <v>0</v>
      </c>
      <c r="H84" s="6">
        <f>H78*(1-Inputs!B22)</f>
        <v>0</v>
      </c>
      <c r="I84" s="6">
        <f>I78*(1-Inputs!B22)</f>
        <v>0</v>
      </c>
      <c r="J84" s="6">
        <f>J78*(1-Inputs!B22)</f>
        <v>0</v>
      </c>
    </row>
    <row r="85" spans="1:10" x14ac:dyDescent="0.4">
      <c r="A85" s="4" t="s">
        <v>148</v>
      </c>
      <c r="C85" s="6">
        <f>C79*(1-Inputs!B22)</f>
        <v>5037.8901830385339</v>
      </c>
      <c r="D85" s="6">
        <f>D79*(1-Inputs!B22)</f>
        <v>0</v>
      </c>
      <c r="E85" s="6">
        <f>E79*(1-Inputs!B22)</f>
        <v>2118.9085650570419</v>
      </c>
      <c r="F85" s="6">
        <f>F79*(1-Inputs!B22)</f>
        <v>49.356933009714176</v>
      </c>
      <c r="G85" s="6">
        <f>G79*(1-Inputs!B22)</f>
        <v>0</v>
      </c>
      <c r="H85" s="6">
        <f>H79*(1-Inputs!B22)</f>
        <v>0</v>
      </c>
      <c r="I85" s="6">
        <f>I79*(1-Inputs!B22)</f>
        <v>0</v>
      </c>
      <c r="J85" s="6">
        <f>J79*(1-Inputs!B22)</f>
        <v>0</v>
      </c>
    </row>
    <row r="87" spans="1:10" x14ac:dyDescent="0.4">
      <c r="A87" s="4" t="s">
        <v>149</v>
      </c>
      <c r="C87" s="6">
        <f t="shared" ref="C87:J87" si="33">C63*MAX(IF(ISBLANK(C26),C12,C26),0)</f>
        <v>408.04305397541037</v>
      </c>
      <c r="D87" s="6">
        <f t="shared" si="33"/>
        <v>0</v>
      </c>
      <c r="E87" s="6">
        <f t="shared" si="33"/>
        <v>0</v>
      </c>
      <c r="F87" s="6">
        <f t="shared" si="33"/>
        <v>0</v>
      </c>
      <c r="G87" s="6">
        <f t="shared" si="33"/>
        <v>0</v>
      </c>
      <c r="H87" s="6">
        <f t="shared" si="33"/>
        <v>0</v>
      </c>
      <c r="I87" s="6">
        <f t="shared" si="33"/>
        <v>0</v>
      </c>
      <c r="J87" s="6">
        <f t="shared" si="33"/>
        <v>0</v>
      </c>
    </row>
    <row r="88" spans="1:10" x14ac:dyDescent="0.4">
      <c r="A88" s="4" t="s">
        <v>150</v>
      </c>
      <c r="C88" s="6">
        <f t="shared" ref="C88:J88" si="34">C64*MAX(IF(ISBLANK(C26),C12,C26),0)</f>
        <v>412.64919761311245</v>
      </c>
      <c r="D88" s="6">
        <f t="shared" si="34"/>
        <v>0</v>
      </c>
      <c r="E88" s="6">
        <f t="shared" si="34"/>
        <v>0</v>
      </c>
      <c r="F88" s="6">
        <f t="shared" si="34"/>
        <v>0</v>
      </c>
      <c r="G88" s="6">
        <f t="shared" si="34"/>
        <v>0</v>
      </c>
      <c r="H88" s="6">
        <f t="shared" si="34"/>
        <v>0</v>
      </c>
      <c r="I88" s="6">
        <f t="shared" si="34"/>
        <v>0</v>
      </c>
      <c r="J88" s="6">
        <f t="shared" si="34"/>
        <v>0</v>
      </c>
    </row>
    <row r="89" spans="1:10" x14ac:dyDescent="0.4">
      <c r="A89" s="4" t="s">
        <v>151</v>
      </c>
      <c r="C89" s="6">
        <f t="shared" ref="C89:J89" si="35">C65*MAX(IF(ISBLANK(C26),C12,C26),0)</f>
        <v>417.57316090726778</v>
      </c>
      <c r="D89" s="6">
        <f t="shared" si="35"/>
        <v>0</v>
      </c>
      <c r="E89" s="6">
        <f t="shared" si="35"/>
        <v>0</v>
      </c>
      <c r="F89" s="6">
        <f t="shared" si="35"/>
        <v>0</v>
      </c>
      <c r="G89" s="6">
        <f t="shared" si="35"/>
        <v>0</v>
      </c>
      <c r="H89" s="6">
        <f t="shared" si="35"/>
        <v>0</v>
      </c>
      <c r="I89" s="6">
        <f t="shared" si="35"/>
        <v>0</v>
      </c>
      <c r="J89" s="6">
        <f t="shared" si="35"/>
        <v>0</v>
      </c>
    </row>
    <row r="90" spans="1:10" x14ac:dyDescent="0.4">
      <c r="A90" s="4" t="s">
        <v>152</v>
      </c>
      <c r="C90" s="6">
        <f t="shared" ref="C90:J90" si="36">C66*MAX(IF(ISBLANK(C26),C12,C26),0)</f>
        <v>422.82487544462089</v>
      </c>
      <c r="D90" s="6">
        <f t="shared" si="36"/>
        <v>0</v>
      </c>
      <c r="E90" s="6">
        <f t="shared" si="36"/>
        <v>0</v>
      </c>
      <c r="F90" s="6">
        <f t="shared" si="36"/>
        <v>0</v>
      </c>
      <c r="G90" s="6">
        <f t="shared" si="36"/>
        <v>0</v>
      </c>
      <c r="H90" s="6">
        <f t="shared" si="36"/>
        <v>0</v>
      </c>
      <c r="I90" s="6">
        <f t="shared" si="36"/>
        <v>0</v>
      </c>
      <c r="J90" s="6">
        <f t="shared" si="36"/>
        <v>0</v>
      </c>
    </row>
    <row r="91" spans="1:10" x14ac:dyDescent="0.4">
      <c r="A91" s="4" t="s">
        <v>153</v>
      </c>
      <c r="C91" s="6">
        <f t="shared" ref="C91:J91" si="37">C67*MAX(IF(ISBLANK(C26),C12,C26),0)</f>
        <v>428.41501832392606</v>
      </c>
      <c r="D91" s="6">
        <f t="shared" si="37"/>
        <v>0</v>
      </c>
      <c r="E91" s="6">
        <f t="shared" si="37"/>
        <v>0</v>
      </c>
      <c r="F91" s="6">
        <f t="shared" si="37"/>
        <v>0</v>
      </c>
      <c r="G91" s="6">
        <f t="shared" si="37"/>
        <v>0</v>
      </c>
      <c r="H91" s="6">
        <f t="shared" si="37"/>
        <v>0</v>
      </c>
      <c r="I91" s="6">
        <f t="shared" si="37"/>
        <v>0</v>
      </c>
      <c r="J91" s="6">
        <f t="shared" si="37"/>
        <v>0</v>
      </c>
    </row>
    <row r="93" spans="1:10" x14ac:dyDescent="0.4">
      <c r="A93" s="4" t="s">
        <v>154</v>
      </c>
      <c r="C93" s="6">
        <f t="shared" ref="C93:J97" si="38">C81-C87</f>
        <v>4390.285687911688</v>
      </c>
      <c r="D93" s="6">
        <f t="shared" si="38"/>
        <v>0</v>
      </c>
      <c r="E93" s="6">
        <f t="shared" si="38"/>
        <v>1992.1471333457364</v>
      </c>
      <c r="F93" s="6">
        <f t="shared" si="38"/>
        <v>46.902888359439302</v>
      </c>
      <c r="G93" s="6">
        <f t="shared" si="38"/>
        <v>0</v>
      </c>
      <c r="H93" s="6">
        <f t="shared" si="38"/>
        <v>0</v>
      </c>
      <c r="I93" s="6">
        <f t="shared" si="38"/>
        <v>0</v>
      </c>
      <c r="J93" s="6">
        <f t="shared" si="38"/>
        <v>0</v>
      </c>
    </row>
    <row r="94" spans="1:10" x14ac:dyDescent="0.4">
      <c r="A94" s="4" t="s">
        <v>155</v>
      </c>
      <c r="C94" s="6">
        <f t="shared" si="38"/>
        <v>4439.8448858738902</v>
      </c>
      <c r="D94" s="6">
        <f t="shared" si="38"/>
        <v>0</v>
      </c>
      <c r="E94" s="6">
        <f t="shared" si="38"/>
        <v>2027.7371001035472</v>
      </c>
      <c r="F94" s="6">
        <f t="shared" si="38"/>
        <v>47.486448594638915</v>
      </c>
      <c r="G94" s="6">
        <f t="shared" si="38"/>
        <v>0</v>
      </c>
      <c r="H94" s="6">
        <f t="shared" si="38"/>
        <v>0</v>
      </c>
      <c r="I94" s="6">
        <f t="shared" si="38"/>
        <v>0</v>
      </c>
      <c r="J94" s="6">
        <f t="shared" si="38"/>
        <v>0</v>
      </c>
    </row>
    <row r="95" spans="1:10" x14ac:dyDescent="0.4">
      <c r="A95" s="4" t="s">
        <v>156</v>
      </c>
      <c r="C95" s="6">
        <f t="shared" si="38"/>
        <v>4492.8236227192319</v>
      </c>
      <c r="D95" s="6">
        <f t="shared" si="38"/>
        <v>0</v>
      </c>
      <c r="E95" s="6">
        <f t="shared" si="38"/>
        <v>2060.8238219457353</v>
      </c>
      <c r="F95" s="6">
        <f t="shared" si="38"/>
        <v>48.089600994021076</v>
      </c>
      <c r="G95" s="6">
        <f t="shared" si="38"/>
        <v>0</v>
      </c>
      <c r="H95" s="6">
        <f t="shared" si="38"/>
        <v>0</v>
      </c>
      <c r="I95" s="6">
        <f t="shared" si="38"/>
        <v>0</v>
      </c>
      <c r="J95" s="6">
        <f t="shared" si="38"/>
        <v>0</v>
      </c>
    </row>
    <row r="96" spans="1:10" x14ac:dyDescent="0.4">
      <c r="A96" s="4" t="s">
        <v>157</v>
      </c>
      <c r="C96" s="6">
        <f t="shared" si="38"/>
        <v>4549.3287560518738</v>
      </c>
      <c r="D96" s="6">
        <f t="shared" si="38"/>
        <v>0</v>
      </c>
      <c r="E96" s="6">
        <f t="shared" si="38"/>
        <v>2091.2601374337687</v>
      </c>
      <c r="F96" s="6">
        <f t="shared" si="38"/>
        <v>48.712902581723952</v>
      </c>
      <c r="G96" s="6">
        <f t="shared" si="38"/>
        <v>0</v>
      </c>
      <c r="H96" s="6">
        <f t="shared" si="38"/>
        <v>0</v>
      </c>
      <c r="I96" s="6">
        <f t="shared" si="38"/>
        <v>0</v>
      </c>
      <c r="J96" s="6">
        <f t="shared" si="38"/>
        <v>0</v>
      </c>
    </row>
    <row r="97" spans="1:11" x14ac:dyDescent="0.4">
      <c r="A97" s="4" t="s">
        <v>158</v>
      </c>
      <c r="C97" s="6">
        <f t="shared" si="38"/>
        <v>4609.4751647146077</v>
      </c>
      <c r="D97" s="6">
        <f t="shared" si="38"/>
        <v>0</v>
      </c>
      <c r="E97" s="6">
        <f t="shared" si="38"/>
        <v>2118.9085650570419</v>
      </c>
      <c r="F97" s="6">
        <f t="shared" si="38"/>
        <v>49.356933009714176</v>
      </c>
      <c r="G97" s="6">
        <f t="shared" si="38"/>
        <v>0</v>
      </c>
      <c r="H97" s="6">
        <f t="shared" si="38"/>
        <v>0</v>
      </c>
      <c r="I97" s="6">
        <f t="shared" si="38"/>
        <v>0</v>
      </c>
      <c r="J97" s="6">
        <f t="shared" si="38"/>
        <v>0</v>
      </c>
    </row>
    <row r="99" spans="1:11" x14ac:dyDescent="0.4">
      <c r="A99" s="4" t="s">
        <v>159</v>
      </c>
      <c r="C99" s="6">
        <f t="shared" ref="C99:J99" si="39">C93/(((1+C16)*(1+C16+(C104-C16)*1/5)*(1+C16+(C104-C16)*2/5)*(1+C16+(C104-C16)*3/5)*(1+C16+(C104-C16)*4/5))*(1+C104)^1)</f>
        <v>2964.4357785209736</v>
      </c>
      <c r="D99" s="6">
        <f t="shared" si="39"/>
        <v>0</v>
      </c>
      <c r="E99" s="6">
        <f t="shared" si="39"/>
        <v>1324.0225948771283</v>
      </c>
      <c r="F99" s="6">
        <f t="shared" si="39"/>
        <v>30.223489500182666</v>
      </c>
      <c r="G99" s="6">
        <f t="shared" si="39"/>
        <v>0</v>
      </c>
      <c r="H99" s="6">
        <f t="shared" si="39"/>
        <v>0</v>
      </c>
      <c r="I99" s="6">
        <f t="shared" si="39"/>
        <v>0</v>
      </c>
      <c r="J99" s="6">
        <f t="shared" si="39"/>
        <v>0</v>
      </c>
    </row>
    <row r="100" spans="1:11" x14ac:dyDescent="0.4">
      <c r="A100" s="4" t="s">
        <v>160</v>
      </c>
      <c r="C100" s="6">
        <f t="shared" ref="C100:J100" si="40">C94/(((1+C16)*(1+C16+(C104-C16)*1/5)*(1+C16+(C104-C16)*2/5)*(1+C16+(C104-C16)*3/5)*(1+C16+(C104-C16)*4/5))*(1+C104)^2)</f>
        <v>2788.2166304383009</v>
      </c>
      <c r="D100" s="6">
        <f t="shared" si="40"/>
        <v>0</v>
      </c>
      <c r="E100" s="6">
        <f t="shared" si="40"/>
        <v>1250.0950124475012</v>
      </c>
      <c r="F100" s="6">
        <f t="shared" si="40"/>
        <v>28.459296425098277</v>
      </c>
      <c r="G100" s="6">
        <f t="shared" si="40"/>
        <v>0</v>
      </c>
      <c r="H100" s="6">
        <f t="shared" si="40"/>
        <v>0</v>
      </c>
      <c r="I100" s="6">
        <f t="shared" si="40"/>
        <v>0</v>
      </c>
      <c r="J100" s="6">
        <f t="shared" si="40"/>
        <v>0</v>
      </c>
    </row>
    <row r="101" spans="1:11" x14ac:dyDescent="0.4">
      <c r="A101" s="4" t="s">
        <v>161</v>
      </c>
      <c r="C101" s="6">
        <f t="shared" ref="C101:J101" si="41">C95/(((1+C16)*(1+C16+(C104-C16)*1/5)*(1+C16+(C104-C16)*2/5)*(1+C16+(C104-C16)*3/5)*(1+C16+(C104-C16)*4/5))*(1+C104)^3)</f>
        <v>2624.1432352076786</v>
      </c>
      <c r="D101" s="6">
        <f t="shared" si="41"/>
        <v>0</v>
      </c>
      <c r="E101" s="6">
        <f t="shared" si="41"/>
        <v>1178.5001188279355</v>
      </c>
      <c r="F101" s="6">
        <f t="shared" si="41"/>
        <v>26.804955673610991</v>
      </c>
      <c r="G101" s="6">
        <f t="shared" si="41"/>
        <v>0</v>
      </c>
      <c r="H101" s="6">
        <f t="shared" si="41"/>
        <v>0</v>
      </c>
      <c r="I101" s="6">
        <f t="shared" si="41"/>
        <v>0</v>
      </c>
      <c r="J101" s="6">
        <f t="shared" si="41"/>
        <v>0</v>
      </c>
    </row>
    <row r="102" spans="1:11" x14ac:dyDescent="0.4">
      <c r="A102" s="4" t="s">
        <v>162</v>
      </c>
      <c r="C102" s="6">
        <f t="shared" ref="C102:J102" si="42">C96/(((1+C16)*(1+C16+(C104-C16)*1/5)*(1+C16+(C104-C16)*2/5)*(1+C16+(C104-C16)*3/5)*(1+C16+(C104-C16)*4/5))*(1+C104)^4)</f>
        <v>2471.2969925380039</v>
      </c>
      <c r="D102" s="6">
        <f t="shared" si="42"/>
        <v>0</v>
      </c>
      <c r="E102" s="6">
        <f t="shared" si="42"/>
        <v>1109.3132834788516</v>
      </c>
      <c r="F102" s="6">
        <f t="shared" si="42"/>
        <v>25.25325586873543</v>
      </c>
      <c r="G102" s="6">
        <f t="shared" si="42"/>
        <v>0</v>
      </c>
      <c r="H102" s="6">
        <f t="shared" si="42"/>
        <v>0</v>
      </c>
      <c r="I102" s="6">
        <f t="shared" si="42"/>
        <v>0</v>
      </c>
      <c r="J102" s="6">
        <f t="shared" si="42"/>
        <v>0</v>
      </c>
    </row>
    <row r="103" spans="1:11" x14ac:dyDescent="0.4">
      <c r="A103" s="4" t="s">
        <v>163</v>
      </c>
      <c r="C103" s="6">
        <f t="shared" ref="C103:J103" si="43">C97/(((1+C16)*(1+C16+(C104-C16)*1/5)*(1+C16+(C104-C16)*2/5)*(1+C16+(C104-C16)*3/5)*(1+C16+(C104-C16)*4/5))*(1+C104)^5)</f>
        <v>2328.8340874216801</v>
      </c>
      <c r="D103" s="6">
        <f t="shared" si="43"/>
        <v>0</v>
      </c>
      <c r="E103" s="6">
        <f t="shared" si="43"/>
        <v>1042.5952938501173</v>
      </c>
      <c r="F103" s="6">
        <f t="shared" si="43"/>
        <v>23.797480943435527</v>
      </c>
      <c r="G103" s="6">
        <f t="shared" si="43"/>
        <v>0</v>
      </c>
      <c r="H103" s="6">
        <f t="shared" si="43"/>
        <v>0</v>
      </c>
      <c r="I103" s="6">
        <f t="shared" si="43"/>
        <v>0</v>
      </c>
      <c r="J103" s="6">
        <f t="shared" si="43"/>
        <v>0</v>
      </c>
    </row>
    <row r="104" spans="1:11" x14ac:dyDescent="0.4">
      <c r="A104" s="4" t="s">
        <v>164</v>
      </c>
      <c r="C104" s="11">
        <f>MAX((Inputs!B18+((1+(1-Inputs!B22)*(Inputs!B36/(1-Inputs!B36)))/(1+(1-Inputs!B22)*0.25))*Inputs!B19+IF(ISBLANK(C17),Inputs!B24,C17)+Inputs!B25+Inputs!B39)*(1-Inputs!B36)+Inputs!B38*Inputs!B36,C15)</f>
        <v>7.5203200888142155E-2</v>
      </c>
      <c r="D104" s="11">
        <f>MAX((Inputs!B18+((1+(1-Inputs!B22)*(Inputs!B36/(1-Inputs!B36)))/(1+(1-Inputs!B22)*0.25))*Inputs!B19+IF(ISBLANK(D17),Inputs!B24,D17)+Inputs!B25+Inputs!B39)*(1-Inputs!B36)+Inputs!B38*Inputs!B36,D15)</f>
        <v>7.5203200888142155E-2</v>
      </c>
      <c r="E104" s="11">
        <f>MAX((Inputs!B18+((1+(1-Inputs!B22)*(Inputs!B36/(1-Inputs!B36)))/(1+(1-Inputs!B22)*0.25))*Inputs!B19+IF(ISBLANK(E17),Inputs!B24,E17)+Inputs!B25+Inputs!B39)*(1-Inputs!B36)+Inputs!B38*Inputs!B36,E15)</f>
        <v>7.8059200888142152E-2</v>
      </c>
      <c r="F104" s="11">
        <f>MAX((Inputs!B18+((1+(1-Inputs!B22)*(Inputs!B36/(1-Inputs!B36)))/(1+(1-Inputs!B22)*0.25))*Inputs!B19+IF(ISBLANK(F17),Inputs!B24,F17)+Inputs!B25+Inputs!B39)*(1-Inputs!B36)+Inputs!B38*Inputs!B36,F15)</f>
        <v>7.5203200888142155E-2</v>
      </c>
      <c r="G104" s="11">
        <f>MAX((Inputs!B18+((1+(1-Inputs!B22)*(Inputs!B36/(1-Inputs!B36)))/(1+(1-Inputs!B22)*0.25))*Inputs!B19+IF(ISBLANK(G17),Inputs!B24,G17)+Inputs!B25+Inputs!B39)*(1-Inputs!B36)+Inputs!B38*Inputs!B36,G15)</f>
        <v>7.5203200888142155E-2</v>
      </c>
      <c r="H104" s="11">
        <f>MAX((Inputs!B18+((1+(1-Inputs!B22)*(Inputs!B36/(1-Inputs!B36)))/(1+(1-Inputs!B22)*0.25))*Inputs!B19+IF(ISBLANK(H17),Inputs!B24,H17)+Inputs!B25+Inputs!B39)*(1-Inputs!B36)+Inputs!B38*Inputs!B36,H15)</f>
        <v>7.5203200888142155E-2</v>
      </c>
      <c r="I104" s="11">
        <f>MAX((Inputs!B18+((1+(1-Inputs!B22)*(Inputs!B36/(1-Inputs!B36)))/(1+(1-Inputs!B22)*0.25))*Inputs!B19+IF(ISBLANK(I17),Inputs!B24,I17)+Inputs!B25+Inputs!B39)*(1-Inputs!B36)+Inputs!B38*Inputs!B36,I15)</f>
        <v>7.5203200888142155E-2</v>
      </c>
      <c r="J104" s="11">
        <f>MAX((Inputs!B18+((1+(1-Inputs!B22)*(Inputs!B36/(1-Inputs!B36)))/(1+(1-Inputs!B22)*0.25))*Inputs!B19+IF(ISBLANK(J17),Inputs!B24,J17)+Inputs!B25+Inputs!B39)*(1-Inputs!B36)+Inputs!B38*Inputs!B36,J15)</f>
        <v>7.5203200888142155E-2</v>
      </c>
    </row>
    <row r="105" spans="1:11" x14ac:dyDescent="0.4">
      <c r="A105" s="4" t="s">
        <v>165</v>
      </c>
      <c r="C105" s="6">
        <f t="shared" ref="C105:J105" si="44">SUM(C57:C61,C99:C103)</f>
        <v>30471.174353110691</v>
      </c>
      <c r="D105" s="6">
        <f t="shared" si="44"/>
        <v>0</v>
      </c>
      <c r="E105" s="6">
        <f t="shared" si="44"/>
        <v>15655.369655854847</v>
      </c>
      <c r="F105" s="6">
        <f t="shared" si="44"/>
        <v>407.2617048374866</v>
      </c>
      <c r="G105" s="6">
        <f t="shared" si="44"/>
        <v>0</v>
      </c>
      <c r="H105" s="6">
        <f t="shared" si="44"/>
        <v>0</v>
      </c>
      <c r="I105" s="6">
        <f t="shared" si="44"/>
        <v>0</v>
      </c>
      <c r="J105" s="6">
        <f t="shared" si="44"/>
        <v>0</v>
      </c>
    </row>
    <row r="106" spans="1:11" x14ac:dyDescent="0.4">
      <c r="A106" s="4" t="s">
        <v>166</v>
      </c>
      <c r="C106" s="6">
        <f t="shared" ref="C106:J106" si="45">IF(C5=0,0,C97*(1+C13)/(C104-C13))</f>
        <v>75350.863299790217</v>
      </c>
      <c r="D106" s="6">
        <f t="shared" si="45"/>
        <v>0</v>
      </c>
      <c r="E106" s="6">
        <f t="shared" si="45"/>
        <v>33111.970404391861</v>
      </c>
      <c r="F106" s="6">
        <f t="shared" si="45"/>
        <v>806.83535092701607</v>
      </c>
      <c r="G106" s="6">
        <f t="shared" si="45"/>
        <v>0</v>
      </c>
      <c r="H106" s="6">
        <f t="shared" si="45"/>
        <v>0</v>
      </c>
      <c r="I106" s="6">
        <f t="shared" si="45"/>
        <v>0</v>
      </c>
      <c r="J106" s="6">
        <f t="shared" si="45"/>
        <v>0</v>
      </c>
    </row>
    <row r="107" spans="1:11" x14ac:dyDescent="0.4">
      <c r="A107" s="4" t="s">
        <v>167</v>
      </c>
      <c r="C107" s="6">
        <f t="shared" ref="C107:J107" si="46">C106/(((1+C16)*(1+C16+(C104-C16)*1/5)*(1+C16+(C104-C16)*2/5)*(1+C16+(C104-C16)*3/5)*(1+C16+(C104-C16)*4/5))*(1+C104)^5)</f>
        <v>38069.336030378079</v>
      </c>
      <c r="D107" s="6">
        <f t="shared" si="46"/>
        <v>0</v>
      </c>
      <c r="E107" s="6">
        <f t="shared" si="46"/>
        <v>16292.531486743961</v>
      </c>
      <c r="F107" s="6">
        <f t="shared" si="46"/>
        <v>389.01624791793301</v>
      </c>
      <c r="G107" s="6">
        <f t="shared" si="46"/>
        <v>0</v>
      </c>
      <c r="H107" s="6">
        <f t="shared" si="46"/>
        <v>0</v>
      </c>
      <c r="I107" s="6">
        <f t="shared" si="46"/>
        <v>0</v>
      </c>
      <c r="J107" s="6">
        <f t="shared" si="46"/>
        <v>0</v>
      </c>
    </row>
    <row r="109" spans="1:11" x14ac:dyDescent="0.4">
      <c r="A109" s="19" t="s">
        <v>168</v>
      </c>
      <c r="C109" s="20">
        <f t="shared" ref="C109:J109" si="47">C105+C107</f>
        <v>68540.51038348877</v>
      </c>
      <c r="D109" s="20">
        <f t="shared" si="47"/>
        <v>0</v>
      </c>
      <c r="E109" s="20">
        <f t="shared" si="47"/>
        <v>31947.901142598806</v>
      </c>
      <c r="F109" s="20">
        <f t="shared" si="47"/>
        <v>796.27795275541962</v>
      </c>
      <c r="G109" s="20">
        <f t="shared" si="47"/>
        <v>0</v>
      </c>
      <c r="H109" s="20">
        <f t="shared" si="47"/>
        <v>0</v>
      </c>
      <c r="I109" s="20">
        <f t="shared" si="47"/>
        <v>0</v>
      </c>
      <c r="J109" s="20">
        <f t="shared" si="47"/>
        <v>0</v>
      </c>
      <c r="K109" s="20">
        <f>SUM(C109:J109)</f>
        <v>101284.68947884301</v>
      </c>
    </row>
    <row r="110" spans="1:11" x14ac:dyDescent="0.4">
      <c r="A110" s="4" t="s">
        <v>169</v>
      </c>
      <c r="K110" s="11">
        <f>IFERROR(SUMPRODUCT(C109:J109,C16:J16)/SUM(C109:J109),0)</f>
        <v>6.1112870572798204E-2</v>
      </c>
    </row>
    <row r="111" spans="1:11" x14ac:dyDescent="0.4">
      <c r="A111" s="4" t="s">
        <v>170</v>
      </c>
      <c r="K111" s="5">
        <f>96116-SUM(B135:J135)</f>
        <v>25217.049499999994</v>
      </c>
    </row>
    <row r="112" spans="1:11" x14ac:dyDescent="0.4">
      <c r="A112" s="4" t="s">
        <v>171</v>
      </c>
      <c r="K112" s="5">
        <v>2500</v>
      </c>
    </row>
    <row r="113" spans="1:11" x14ac:dyDescent="0.4">
      <c r="A113" s="4" t="s">
        <v>172</v>
      </c>
      <c r="K113" s="5">
        <v>-25709.349145128381</v>
      </c>
    </row>
    <row r="114" spans="1:11" x14ac:dyDescent="0.4">
      <c r="A114" s="4" t="s">
        <v>173</v>
      </c>
      <c r="K114" s="5">
        <f>0+SUM(B134:J134)</f>
        <v>60308.338629876409</v>
      </c>
    </row>
    <row r="115" spans="1:11" x14ac:dyDescent="0.4">
      <c r="A115" s="4" t="s">
        <v>174</v>
      </c>
      <c r="K115" s="5">
        <v>0</v>
      </c>
    </row>
    <row r="116" spans="1:11" x14ac:dyDescent="0.4">
      <c r="A116" s="4" t="s">
        <v>175</v>
      </c>
      <c r="K116" s="5">
        <v>-163.75</v>
      </c>
    </row>
    <row r="117" spans="1:11" x14ac:dyDescent="0.4">
      <c r="A117" s="4" t="s">
        <v>176</v>
      </c>
      <c r="K117" s="5">
        <v>0</v>
      </c>
    </row>
    <row r="118" spans="1:11" x14ac:dyDescent="0.4">
      <c r="A118" s="4" t="s">
        <v>177</v>
      </c>
      <c r="K118" s="5">
        <v>0</v>
      </c>
    </row>
    <row r="119" spans="1:11" x14ac:dyDescent="0.4">
      <c r="A119" s="4" t="s">
        <v>178</v>
      </c>
      <c r="K119" s="20">
        <f>K109+K113+K114+K115+K116+K117+K118-K111-K112</f>
        <v>108002.87946359106</v>
      </c>
    </row>
    <row r="120" spans="1:11" x14ac:dyDescent="0.4">
      <c r="A120" s="4" t="s">
        <v>179</v>
      </c>
      <c r="K120" s="6">
        <f>Inputs!B11</f>
        <v>4871</v>
      </c>
    </row>
    <row r="122" spans="1:11" ht="15.9" customHeight="1" x14ac:dyDescent="0.45">
      <c r="A122" s="4" t="s">
        <v>180</v>
      </c>
      <c r="K122" s="21">
        <f>K119/K120</f>
        <v>22.172629740010482</v>
      </c>
    </row>
    <row r="124" spans="1:11" x14ac:dyDescent="0.4">
      <c r="A124" t="s">
        <v>181</v>
      </c>
    </row>
    <row r="125" spans="1:11" x14ac:dyDescent="0.4">
      <c r="A125" t="s">
        <v>182</v>
      </c>
      <c r="B125" t="s">
        <v>183</v>
      </c>
    </row>
    <row r="126" spans="1:11" x14ac:dyDescent="0.4">
      <c r="A126" t="s">
        <v>184</v>
      </c>
      <c r="B126" t="s">
        <v>185</v>
      </c>
    </row>
    <row r="127" spans="1:11" x14ac:dyDescent="0.4">
      <c r="A127" t="s">
        <v>186</v>
      </c>
      <c r="B127" t="s">
        <v>187</v>
      </c>
    </row>
    <row r="128" spans="1:11" x14ac:dyDescent="0.4">
      <c r="A128" t="s">
        <v>188</v>
      </c>
      <c r="B128">
        <v>0.86870000000000003</v>
      </c>
    </row>
    <row r="129" spans="1:2" x14ac:dyDescent="0.4">
      <c r="A129" t="s">
        <v>215</v>
      </c>
      <c r="B129">
        <v>225301.7</v>
      </c>
    </row>
    <row r="130" spans="1:2" x14ac:dyDescent="0.4">
      <c r="A130" t="s">
        <v>190</v>
      </c>
      <c r="B130">
        <v>81615</v>
      </c>
    </row>
    <row r="131" spans="1:2" x14ac:dyDescent="0.4">
      <c r="A131" t="s">
        <v>191</v>
      </c>
      <c r="B131">
        <f>B129-B130</f>
        <v>143686.70000000001</v>
      </c>
    </row>
    <row r="132" spans="1:2" x14ac:dyDescent="0.4">
      <c r="A132" t="s">
        <v>192</v>
      </c>
      <c r="B132">
        <v>0.51400000000000001</v>
      </c>
    </row>
    <row r="133" spans="1:2" x14ac:dyDescent="0.4">
      <c r="A133" t="s">
        <v>193</v>
      </c>
      <c r="B133">
        <f>B131*B132</f>
        <v>73854.963800000012</v>
      </c>
    </row>
    <row r="134" spans="1:2" x14ac:dyDescent="0.4">
      <c r="A134" t="s">
        <v>194</v>
      </c>
      <c r="B134">
        <f>B133*B128*(1+B143)</f>
        <v>60308.338629876409</v>
      </c>
    </row>
    <row r="135" spans="1:2" x14ac:dyDescent="0.4">
      <c r="A135" t="s">
        <v>195</v>
      </c>
      <c r="B135">
        <f>B130*B128</f>
        <v>70898.950500000006</v>
      </c>
    </row>
    <row r="136" spans="1:2" x14ac:dyDescent="0.4">
      <c r="A136" t="s">
        <v>196</v>
      </c>
    </row>
    <row r="137" spans="1:2" x14ac:dyDescent="0.4">
      <c r="A137" t="s">
        <v>197</v>
      </c>
      <c r="B137" t="s">
        <v>198</v>
      </c>
    </row>
    <row r="138" spans="1:2" x14ac:dyDescent="0.4">
      <c r="A138" t="s">
        <v>199</v>
      </c>
      <c r="B138" t="s">
        <v>200</v>
      </c>
    </row>
    <row r="139" spans="1:2" x14ac:dyDescent="0.4">
      <c r="A139" t="s">
        <v>201</v>
      </c>
      <c r="B139" t="s">
        <v>202</v>
      </c>
    </row>
    <row r="140" spans="1:2" x14ac:dyDescent="0.4">
      <c r="A140" t="s">
        <v>203</v>
      </c>
      <c r="B140" t="s">
        <v>204</v>
      </c>
    </row>
    <row r="141" spans="1:2" x14ac:dyDescent="0.4">
      <c r="A141" t="s">
        <v>216</v>
      </c>
      <c r="B141" t="s">
        <v>217</v>
      </c>
    </row>
    <row r="142" spans="1:2" x14ac:dyDescent="0.4">
      <c r="A142" t="s">
        <v>207</v>
      </c>
      <c r="B142">
        <f>ABS(B134)*0.1/Inputs!B11</f>
        <v>1.2381100108781855</v>
      </c>
    </row>
    <row r="143" spans="1:2" x14ac:dyDescent="0.4">
      <c r="A143" t="s">
        <v>218</v>
      </c>
      <c r="B143">
        <v>-0.06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/>
  </sheetViews>
  <sheetFormatPr baseColWidth="10" defaultColWidth="9.23046875" defaultRowHeight="14.6" x14ac:dyDescent="0.4"/>
  <cols>
    <col min="1" max="1" width="28" customWidth="1"/>
    <col min="2" max="2" width="16" customWidth="1"/>
    <col min="3" max="3" width="14" customWidth="1"/>
    <col min="4" max="4" width="16" customWidth="1"/>
    <col min="5" max="5" width="50" customWidth="1"/>
  </cols>
  <sheetData>
    <row r="1" spans="1:5" ht="18.45" customHeight="1" x14ac:dyDescent="0.5">
      <c r="A1" s="1" t="s">
        <v>219</v>
      </c>
    </row>
    <row r="2" spans="1:5" x14ac:dyDescent="0.4">
      <c r="A2" s="2" t="s">
        <v>220</v>
      </c>
    </row>
    <row r="3" spans="1:5" x14ac:dyDescent="0.4">
      <c r="A3" s="2" t="s">
        <v>221</v>
      </c>
    </row>
    <row r="4" spans="1:5" x14ac:dyDescent="0.4">
      <c r="A4" s="22" t="s">
        <v>222</v>
      </c>
      <c r="B4" s="22" t="s">
        <v>223</v>
      </c>
      <c r="C4" s="22" t="s">
        <v>224</v>
      </c>
      <c r="D4" s="22" t="s">
        <v>225</v>
      </c>
      <c r="E4" s="22" t="s">
        <v>226</v>
      </c>
    </row>
    <row r="5" spans="1:5" ht="30" customHeight="1" x14ac:dyDescent="0.4">
      <c r="A5" s="23" t="s">
        <v>227</v>
      </c>
      <c r="B5" s="5">
        <v>-245</v>
      </c>
      <c r="C5" s="7">
        <v>0.35</v>
      </c>
      <c r="D5" s="6">
        <f>IF(ISNUMBER(B5),B5*C5,"")</f>
        <v>-85.75</v>
      </c>
      <c r="E5" s="24" t="s">
        <v>228</v>
      </c>
    </row>
    <row r="6" spans="1:5" ht="30" customHeight="1" x14ac:dyDescent="0.4">
      <c r="A6" s="23" t="s">
        <v>229</v>
      </c>
      <c r="B6" s="5">
        <v>-150</v>
      </c>
      <c r="C6" s="7">
        <v>0.2</v>
      </c>
      <c r="D6" s="6">
        <f>IF(ISNUMBER(B6),B6*C6,"")</f>
        <v>-30</v>
      </c>
      <c r="E6" s="24" t="s">
        <v>230</v>
      </c>
    </row>
    <row r="7" spans="1:5" ht="30" customHeight="1" x14ac:dyDescent="0.4">
      <c r="A7" s="23" t="s">
        <v>231</v>
      </c>
      <c r="B7" s="5">
        <v>-80</v>
      </c>
      <c r="C7" s="7">
        <v>0.6</v>
      </c>
      <c r="D7" s="6">
        <f>IF(ISNUMBER(B7),B7*C7,"")</f>
        <v>-48</v>
      </c>
      <c r="E7" s="24" t="s">
        <v>232</v>
      </c>
    </row>
    <row r="8" spans="1:5" ht="30" customHeight="1" x14ac:dyDescent="0.4">
      <c r="A8" s="23"/>
      <c r="B8" s="5"/>
      <c r="C8" s="7"/>
      <c r="D8" s="6" t="str">
        <f>IF(ISNUMBER(B8),B8*C8,"")</f>
        <v/>
      </c>
      <c r="E8" s="24"/>
    </row>
    <row r="9" spans="1:5" ht="30" customHeight="1" x14ac:dyDescent="0.4">
      <c r="A9" s="23"/>
      <c r="B9" s="5"/>
      <c r="C9" s="7"/>
      <c r="D9" s="6" t="str">
        <f>IF(ISNUMBER(B9),B9*C9,"")</f>
        <v/>
      </c>
      <c r="E9" s="24"/>
    </row>
    <row r="11" spans="1:5" x14ac:dyDescent="0.4">
      <c r="C11" s="4" t="s">
        <v>233</v>
      </c>
      <c r="D11" s="20">
        <f>SUM(D5:D9)</f>
        <v>-163.75</v>
      </c>
    </row>
    <row r="12" spans="1:5" x14ac:dyDescent="0.4">
      <c r="C12" s="4" t="s">
        <v>234</v>
      </c>
      <c r="D12" s="20">
        <f>IF(Inputs!B11&gt;0,D11/Inputs!B11,"")</f>
        <v>-3.361732703756929E-2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2"/>
  <sheetViews>
    <sheetView workbookViewId="0"/>
  </sheetViews>
  <sheetFormatPr baseColWidth="10" defaultColWidth="9.23046875" defaultRowHeight="14.6" x14ac:dyDescent="0.4"/>
  <cols>
    <col min="1" max="1" width="30" customWidth="1"/>
    <col min="2" max="10" width="10" customWidth="1"/>
    <col min="11" max="11" width="8" customWidth="1"/>
    <col min="12" max="12" width="10" customWidth="1"/>
  </cols>
  <sheetData>
    <row r="1" spans="1:12" ht="18.45" customHeight="1" x14ac:dyDescent="0.5">
      <c r="A1" s="1" t="s">
        <v>235</v>
      </c>
    </row>
    <row r="2" spans="1:12" x14ac:dyDescent="0.4">
      <c r="A2" s="2" t="s">
        <v>236</v>
      </c>
    </row>
    <row r="4" spans="1:12" x14ac:dyDescent="0.4">
      <c r="A4" s="3" t="s">
        <v>237</v>
      </c>
    </row>
    <row r="5" spans="1:12" ht="29.15" customHeight="1" x14ac:dyDescent="0.4">
      <c r="A5" s="25" t="s">
        <v>238</v>
      </c>
      <c r="B5" s="25" t="s">
        <v>239</v>
      </c>
      <c r="C5" s="25" t="s">
        <v>240</v>
      </c>
      <c r="D5" s="25" t="s">
        <v>241</v>
      </c>
      <c r="E5" s="25" t="s">
        <v>242</v>
      </c>
      <c r="F5" s="25" t="s">
        <v>243</v>
      </c>
      <c r="G5" s="25" t="s">
        <v>244</v>
      </c>
      <c r="H5" s="25" t="s">
        <v>245</v>
      </c>
      <c r="I5" s="25" t="s">
        <v>246</v>
      </c>
      <c r="J5" s="25" t="s">
        <v>247</v>
      </c>
      <c r="K5" s="25" t="s">
        <v>248</v>
      </c>
      <c r="L5" s="25" t="s">
        <v>249</v>
      </c>
    </row>
    <row r="6" spans="1:12" x14ac:dyDescent="0.4">
      <c r="A6" s="36" t="s">
        <v>55</v>
      </c>
      <c r="B6" s="37">
        <v>3.4038744867515652E-2</v>
      </c>
      <c r="C6" s="37">
        <v>2.5000000000000001E-2</v>
      </c>
      <c r="D6" s="37">
        <v>0.01</v>
      </c>
      <c r="E6" s="37">
        <v>0.26807748973503132</v>
      </c>
      <c r="F6" s="37">
        <v>0.25</v>
      </c>
      <c r="G6" s="37">
        <v>0.22740313783121091</v>
      </c>
      <c r="H6" s="37">
        <v>2.4519372433757829E-2</v>
      </c>
      <c r="I6" s="37">
        <v>0.02</v>
      </c>
      <c r="J6" s="37">
        <v>1.322094134936326E-2</v>
      </c>
      <c r="K6" s="38">
        <v>0.78</v>
      </c>
      <c r="L6" s="38">
        <v>2</v>
      </c>
    </row>
    <row r="7" spans="1:12" x14ac:dyDescent="0.4">
      <c r="A7" s="36" t="s">
        <v>250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</row>
    <row r="8" spans="1:12" x14ac:dyDescent="0.4">
      <c r="A8" s="36" t="s">
        <v>57</v>
      </c>
      <c r="B8" s="37">
        <v>3.903874486751565E-2</v>
      </c>
      <c r="C8" s="37">
        <v>0.03</v>
      </c>
      <c r="D8" s="37">
        <v>2.0961255132484351E-2</v>
      </c>
      <c r="E8" s="37">
        <v>0.2150774897350313</v>
      </c>
      <c r="F8" s="37">
        <v>0.19700000000000001</v>
      </c>
      <c r="G8" s="37">
        <v>0.182</v>
      </c>
      <c r="H8" s="37">
        <v>2.4519372433757829E-2</v>
      </c>
      <c r="I8" s="37">
        <v>0.02</v>
      </c>
      <c r="J8" s="37">
        <v>1.322094134936326E-2</v>
      </c>
      <c r="K8" s="38">
        <v>0.78</v>
      </c>
      <c r="L8" s="38">
        <v>2</v>
      </c>
    </row>
    <row r="9" spans="1:12" x14ac:dyDescent="0.4">
      <c r="A9" s="36" t="s">
        <v>58</v>
      </c>
      <c r="B9" s="37">
        <v>4.8077489735031301E-2</v>
      </c>
      <c r="C9" s="37">
        <v>0.03</v>
      </c>
      <c r="D9" s="37">
        <v>1.1922510264968701E-2</v>
      </c>
      <c r="E9" s="37">
        <v>5.8154979470062602E-2</v>
      </c>
      <c r="F9" s="37">
        <v>2.1999999999999999E-2</v>
      </c>
      <c r="G9" s="37">
        <v>9.9999999999999985E-3</v>
      </c>
      <c r="H9" s="37">
        <v>2.4519372433757829E-2</v>
      </c>
      <c r="I9" s="37">
        <v>0.02</v>
      </c>
      <c r="J9" s="37">
        <v>1.322094134936326E-2</v>
      </c>
      <c r="K9" s="38">
        <v>1.56</v>
      </c>
      <c r="L9" s="38">
        <v>4</v>
      </c>
    </row>
    <row r="10" spans="1:12" x14ac:dyDescent="0.4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</row>
    <row r="11" spans="1:12" x14ac:dyDescent="0.4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</row>
    <row r="12" spans="1:12" x14ac:dyDescent="0.4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</row>
    <row r="13" spans="1:12" x14ac:dyDescent="0.4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5" spans="1:12" x14ac:dyDescent="0.4">
      <c r="A15" s="3" t="s">
        <v>251</v>
      </c>
    </row>
    <row r="16" spans="1:12" x14ac:dyDescent="0.4">
      <c r="A16" s="22" t="s">
        <v>252</v>
      </c>
      <c r="B16" s="22" t="s">
        <v>253</v>
      </c>
      <c r="C16" s="22" t="s">
        <v>254</v>
      </c>
      <c r="D16" s="22" t="s">
        <v>255</v>
      </c>
      <c r="E16" s="22" t="s">
        <v>256</v>
      </c>
    </row>
    <row r="17" spans="1:5" x14ac:dyDescent="0.4">
      <c r="A17" s="4" t="s">
        <v>257</v>
      </c>
      <c r="B17" s="6">
        <f>'DCF Bull'!K122</f>
        <v>52.14625023611579</v>
      </c>
      <c r="C17" s="39">
        <v>0.25</v>
      </c>
      <c r="D17" s="27" t="s">
        <v>258</v>
      </c>
      <c r="E17" s="6">
        <f>MAX(B17,0)</f>
        <v>52.14625023611579</v>
      </c>
    </row>
    <row r="18" spans="1:5" x14ac:dyDescent="0.4">
      <c r="A18" s="4" t="s">
        <v>259</v>
      </c>
      <c r="B18" s="6">
        <f>'DCF Base'!K122</f>
        <v>36.81544471882615</v>
      </c>
      <c r="C18" s="39">
        <v>0.6</v>
      </c>
      <c r="D18" s="27" t="s">
        <v>260</v>
      </c>
      <c r="E18" s="6">
        <f>MAX(B18,0)</f>
        <v>36.81544471882615</v>
      </c>
    </row>
    <row r="19" spans="1:5" x14ac:dyDescent="0.4">
      <c r="A19" s="4" t="s">
        <v>261</v>
      </c>
      <c r="B19" s="6">
        <f>'DCF Bear'!K122</f>
        <v>22.172629740010482</v>
      </c>
      <c r="C19" s="39">
        <v>0.15</v>
      </c>
      <c r="D19" s="27" t="s">
        <v>262</v>
      </c>
      <c r="E19" s="6">
        <f>MAX(B19,0)</f>
        <v>22.172629740010482</v>
      </c>
    </row>
    <row r="20" spans="1:5" x14ac:dyDescent="0.4">
      <c r="A20" s="2" t="s">
        <v>263</v>
      </c>
    </row>
    <row r="21" spans="1:5" ht="15.9" customHeight="1" x14ac:dyDescent="0.45">
      <c r="A21" s="19" t="s">
        <v>264</v>
      </c>
      <c r="B21" s="21">
        <f>MAX(0,B17*C17+B18*C18+B19*C19)</f>
        <v>38.451723851326214</v>
      </c>
      <c r="D21" s="2" t="s">
        <v>265</v>
      </c>
      <c r="E21" s="6">
        <f>B17*C17+B18*C18+B19*C19</f>
        <v>38.451723851326214</v>
      </c>
    </row>
    <row r="22" spans="1:5" x14ac:dyDescent="0.4">
      <c r="A22" s="2" t="s">
        <v>266</v>
      </c>
      <c r="B22" s="40" t="s">
        <v>267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5"/>
  <sheetViews>
    <sheetView workbookViewId="0"/>
  </sheetViews>
  <sheetFormatPr baseColWidth="10" defaultColWidth="9.23046875" defaultRowHeight="14.6" x14ac:dyDescent="0.4"/>
  <cols>
    <col min="1" max="1" width="34" customWidth="1"/>
    <col min="2" max="5" width="14" customWidth="1"/>
  </cols>
  <sheetData>
    <row r="1" spans="1:5" ht="16.75" customHeight="1" x14ac:dyDescent="0.45">
      <c r="A1" s="28" t="s">
        <v>268</v>
      </c>
    </row>
    <row r="2" spans="1:5" x14ac:dyDescent="0.4">
      <c r="A2" s="2" t="s">
        <v>269</v>
      </c>
    </row>
    <row r="4" spans="1:5" x14ac:dyDescent="0.4">
      <c r="A4" s="4" t="s">
        <v>270</v>
      </c>
      <c r="B4" s="41">
        <v>26.99</v>
      </c>
    </row>
    <row r="5" spans="1:5" x14ac:dyDescent="0.4">
      <c r="A5" s="4" t="s">
        <v>271</v>
      </c>
      <c r="B5" s="41">
        <v>38.450000000000003</v>
      </c>
    </row>
    <row r="6" spans="1:5" x14ac:dyDescent="0.4">
      <c r="A6" s="4" t="s">
        <v>272</v>
      </c>
      <c r="B6" s="29">
        <f>(B5-B4)/B4</f>
        <v>0.42460170433493905</v>
      </c>
    </row>
    <row r="7" spans="1:5" x14ac:dyDescent="0.4">
      <c r="A7" s="4" t="s">
        <v>273</v>
      </c>
      <c r="B7" s="42" t="s">
        <v>274</v>
      </c>
    </row>
    <row r="9" spans="1:5" x14ac:dyDescent="0.4">
      <c r="B9" s="31" t="s">
        <v>259</v>
      </c>
      <c r="C9" s="31" t="s">
        <v>275</v>
      </c>
      <c r="D9" s="31" t="s">
        <v>276</v>
      </c>
      <c r="E9" s="31" t="s">
        <v>277</v>
      </c>
    </row>
    <row r="10" spans="1:5" x14ac:dyDescent="0.4">
      <c r="A10" t="s">
        <v>278</v>
      </c>
      <c r="B10" s="43">
        <v>120462</v>
      </c>
      <c r="C10" s="6">
        <f>B10</f>
        <v>120462</v>
      </c>
      <c r="D10" s="6">
        <f>B10</f>
        <v>120462</v>
      </c>
      <c r="E10" s="6">
        <f t="shared" ref="E10:E15" si="0">B10</f>
        <v>120462</v>
      </c>
    </row>
    <row r="11" spans="1:5" x14ac:dyDescent="0.4">
      <c r="A11" t="s">
        <v>279</v>
      </c>
      <c r="B11" s="44">
        <v>4.8386379107104312E-2</v>
      </c>
      <c r="C11" s="45">
        <v>3.4863281250000003E-2</v>
      </c>
      <c r="D11" s="11">
        <f>B11</f>
        <v>4.8386379107104312E-2</v>
      </c>
      <c r="E11" s="11">
        <f t="shared" si="0"/>
        <v>4.8386379107104312E-2</v>
      </c>
    </row>
    <row r="12" spans="1:5" x14ac:dyDescent="0.4">
      <c r="A12" t="s">
        <v>280</v>
      </c>
      <c r="B12" s="44">
        <v>0.23601935050057279</v>
      </c>
      <c r="C12" s="11">
        <f t="shared" ref="C12:C20" si="1">B12</f>
        <v>0.23601935050057279</v>
      </c>
      <c r="D12" s="11">
        <f>B12</f>
        <v>0.23601935050057279</v>
      </c>
      <c r="E12" s="11">
        <f t="shared" si="0"/>
        <v>0.23601935050057279</v>
      </c>
    </row>
    <row r="13" spans="1:5" x14ac:dyDescent="0.4">
      <c r="A13" t="s">
        <v>281</v>
      </c>
      <c r="B13" s="44">
        <v>0.25100770367418768</v>
      </c>
      <c r="C13" s="11">
        <f t="shared" si="1"/>
        <v>0.25100770367418768</v>
      </c>
      <c r="D13" s="45">
        <v>0.22939376831054689</v>
      </c>
      <c r="E13" s="11">
        <f t="shared" si="0"/>
        <v>0.25100770367418768</v>
      </c>
    </row>
    <row r="14" spans="1:5" x14ac:dyDescent="0.4">
      <c r="A14" t="s">
        <v>282</v>
      </c>
      <c r="B14" s="44">
        <v>-1.880783981670568E-3</v>
      </c>
      <c r="C14" s="11">
        <f t="shared" si="1"/>
        <v>-1.880783981670568E-3</v>
      </c>
      <c r="D14" s="11">
        <f t="shared" ref="D14:D20" si="2">B14</f>
        <v>-1.880783981670568E-3</v>
      </c>
      <c r="E14" s="11">
        <f t="shared" si="0"/>
        <v>-1.880783981670568E-3</v>
      </c>
    </row>
    <row r="15" spans="1:5" x14ac:dyDescent="0.4">
      <c r="A15" t="s">
        <v>74</v>
      </c>
      <c r="B15" s="44">
        <v>2.324156165429762E-2</v>
      </c>
      <c r="C15" s="11">
        <f t="shared" si="1"/>
        <v>2.324156165429762E-2</v>
      </c>
      <c r="D15" s="11">
        <f t="shared" si="2"/>
        <v>2.324156165429762E-2</v>
      </c>
      <c r="E15" s="11">
        <f t="shared" si="0"/>
        <v>2.324156165429762E-2</v>
      </c>
    </row>
    <row r="16" spans="1:5" x14ac:dyDescent="0.4">
      <c r="A16" t="s">
        <v>283</v>
      </c>
      <c r="B16" s="44">
        <v>6.1339090661336491E-2</v>
      </c>
      <c r="C16" s="11">
        <f t="shared" si="1"/>
        <v>6.1339090661336491E-2</v>
      </c>
      <c r="D16" s="11">
        <f t="shared" si="2"/>
        <v>6.1339090661336491E-2</v>
      </c>
      <c r="E16" s="45">
        <v>6.4536895751953122E-2</v>
      </c>
    </row>
    <row r="17" spans="1:5" x14ac:dyDescent="0.4">
      <c r="A17" t="s">
        <v>284</v>
      </c>
      <c r="B17" s="44">
        <v>0.25700000000000001</v>
      </c>
      <c r="C17" s="11">
        <f t="shared" si="1"/>
        <v>0.25700000000000001</v>
      </c>
      <c r="D17" s="11">
        <f t="shared" si="2"/>
        <v>0.25700000000000001</v>
      </c>
      <c r="E17" s="11">
        <f>B17</f>
        <v>0.25700000000000001</v>
      </c>
    </row>
    <row r="18" spans="1:5" x14ac:dyDescent="0.4">
      <c r="A18" t="s">
        <v>285</v>
      </c>
      <c r="B18" s="43">
        <v>-573739.6</v>
      </c>
      <c r="C18" s="6">
        <f t="shared" si="1"/>
        <v>-573739.6</v>
      </c>
      <c r="D18" s="6">
        <f t="shared" si="2"/>
        <v>-573739.6</v>
      </c>
      <c r="E18" s="6">
        <f>B18</f>
        <v>-573739.6</v>
      </c>
    </row>
    <row r="19" spans="1:5" x14ac:dyDescent="0.4">
      <c r="A19" t="s">
        <v>286</v>
      </c>
      <c r="B19" s="43">
        <v>54100.3</v>
      </c>
      <c r="C19" s="6">
        <f t="shared" si="1"/>
        <v>54100.3</v>
      </c>
      <c r="D19" s="6">
        <f t="shared" si="2"/>
        <v>54100.3</v>
      </c>
      <c r="E19" s="6">
        <f>B19</f>
        <v>54100.3</v>
      </c>
    </row>
    <row r="20" spans="1:5" x14ac:dyDescent="0.4">
      <c r="A20" t="s">
        <v>287</v>
      </c>
      <c r="B20" s="41">
        <v>4871</v>
      </c>
      <c r="C20" s="6">
        <f t="shared" si="1"/>
        <v>4871</v>
      </c>
      <c r="D20" s="6">
        <f t="shared" si="2"/>
        <v>4871</v>
      </c>
      <c r="E20" s="6">
        <f>B20</f>
        <v>4871</v>
      </c>
    </row>
    <row r="22" spans="1:5" x14ac:dyDescent="0.4">
      <c r="A22" t="s">
        <v>288</v>
      </c>
      <c r="B22" s="6">
        <f>B10*(1+B11)^1</f>
        <v>126290.72000000002</v>
      </c>
      <c r="C22" s="6">
        <f>C10*(1+C11)^1</f>
        <v>124661.70058593751</v>
      </c>
      <c r="D22" s="6">
        <f>D10*(1+D11)^1</f>
        <v>126290.72000000002</v>
      </c>
      <c r="E22" s="6">
        <f>E10*(1+E11)^1</f>
        <v>126290.72000000002</v>
      </c>
    </row>
    <row r="23" spans="1:5" x14ac:dyDescent="0.4">
      <c r="A23" t="s">
        <v>289</v>
      </c>
      <c r="B23" s="6">
        <f>B10*(1+B11)^2</f>
        <v>132401.47065562918</v>
      </c>
      <c r="C23" s="6">
        <f>C10*(1+C11)^2</f>
        <v>129007.81651456835</v>
      </c>
      <c r="D23" s="6">
        <f>D10*(1+D11)^2</f>
        <v>132401.47065562918</v>
      </c>
      <c r="E23" s="6">
        <f>E10*(1+E11)^2</f>
        <v>132401.47065562918</v>
      </c>
    </row>
    <row r="24" spans="1:5" x14ac:dyDescent="0.4">
      <c r="A24" t="s">
        <v>290</v>
      </c>
      <c r="B24" s="6">
        <f>B10*(1+B11)^3</f>
        <v>138807.89840911061</v>
      </c>
      <c r="C24" s="6">
        <f>C10*(1+C11)^3</f>
        <v>133505.45230516413</v>
      </c>
      <c r="D24" s="6">
        <f>D10*(1+D11)^3</f>
        <v>138807.89840911061</v>
      </c>
      <c r="E24" s="6">
        <f>E10*(1+E11)^3</f>
        <v>138807.89840911061</v>
      </c>
    </row>
    <row r="25" spans="1:5" x14ac:dyDescent="0.4">
      <c r="A25" t="s">
        <v>291</v>
      </c>
      <c r="B25" s="6">
        <f>B10*(1+B11)^4</f>
        <v>145524.31000459424</v>
      </c>
      <c r="C25" s="6">
        <f>C10*(1+C11)^4</f>
        <v>138159.89043728754</v>
      </c>
      <c r="D25" s="6">
        <f>D10*(1+D11)^4</f>
        <v>145524.31000459424</v>
      </c>
      <c r="E25" s="6">
        <f>E10*(1+E11)^4</f>
        <v>145524.31000459424</v>
      </c>
    </row>
    <row r="26" spans="1:5" x14ac:dyDescent="0.4">
      <c r="A26" t="s">
        <v>292</v>
      </c>
      <c r="B26" s="6">
        <f>B10*(1+B11)^5</f>
        <v>152565.70443777632</v>
      </c>
      <c r="C26" s="6">
        <f>C10*(1+C11)^5</f>
        <v>142976.5975550719</v>
      </c>
      <c r="D26" s="6">
        <f>D10*(1+D11)^5</f>
        <v>152565.70443777632</v>
      </c>
      <c r="E26" s="6">
        <f>E10*(1+E11)^5</f>
        <v>152565.70443777632</v>
      </c>
    </row>
    <row r="27" spans="1:5" x14ac:dyDescent="0.4">
      <c r="A27" t="s">
        <v>293</v>
      </c>
      <c r="B27" s="6">
        <f>B26*(1+(B11+(B15-B11)*1/5))</f>
        <v>159180.55909391565</v>
      </c>
      <c r="C27" s="6">
        <f>C26*(1+(C11+(C15-C11)*1/5))</f>
        <v>147628.9041026959</v>
      </c>
      <c r="D27" s="6">
        <f>D26*(1+(D11+(D15-D11)*1/5))</f>
        <v>159180.55909391565</v>
      </c>
      <c r="E27" s="6">
        <f>E26*(1+(E11+(E15-E11)*1/5))</f>
        <v>159180.55909391565</v>
      </c>
    </row>
    <row r="28" spans="1:5" x14ac:dyDescent="0.4">
      <c r="A28" t="s">
        <v>294</v>
      </c>
      <c r="B28" s="6">
        <f>B27*(1+(B11+(B15-B11)*2/5))</f>
        <v>165281.70353253381</v>
      </c>
      <c r="C28" s="6">
        <f>C27*(1+(C11+(C15-C11)*2/5))</f>
        <v>152089.45141597651</v>
      </c>
      <c r="D28" s="6">
        <f>D27*(1+(D11+(D15-D11)*2/5))</f>
        <v>165281.70353253381</v>
      </c>
      <c r="E28" s="6">
        <f>E27*(1+(E11+(E15-E11)*2/5))</f>
        <v>165281.70353253381</v>
      </c>
    </row>
    <row r="29" spans="1:5" x14ac:dyDescent="0.4">
      <c r="A29" t="s">
        <v>295</v>
      </c>
      <c r="B29" s="6">
        <f>B28*(1+(B11+(B15-B11)*3/5))</f>
        <v>170785.49974095833</v>
      </c>
      <c r="C29" s="6">
        <f>C28*(1+(C11+(C15-C11)*3/5))</f>
        <v>156331.26416115751</v>
      </c>
      <c r="D29" s="6">
        <f>D28*(1+(D11+(D15-D11)*3/5))</f>
        <v>170785.49974095833</v>
      </c>
      <c r="E29" s="6">
        <f>E28*(1+(E11+(E15-E11)*3/5))</f>
        <v>170785.49974095833</v>
      </c>
    </row>
    <row r="30" spans="1:5" x14ac:dyDescent="0.4">
      <c r="A30" t="s">
        <v>296</v>
      </c>
      <c r="B30" s="6">
        <f>B29*(1+(B11+(B15-B11)*4/5))</f>
        <v>175613.69550576239</v>
      </c>
      <c r="C30" s="6">
        <f>C29*(1+(C11+(C15-C11)*4/5))</f>
        <v>160328.01449887786</v>
      </c>
      <c r="D30" s="6">
        <f>D29*(1+(D11+(D15-D11)*4/5))</f>
        <v>175613.69550576239</v>
      </c>
      <c r="E30" s="6">
        <f>E29*(1+(E11+(E15-E11)*4/5))</f>
        <v>175613.69550576239</v>
      </c>
    </row>
    <row r="31" spans="1:5" x14ac:dyDescent="0.4">
      <c r="A31" t="s">
        <v>297</v>
      </c>
      <c r="B31" s="6">
        <f>B30*(1+(B11+(B15-B11)*5/5))</f>
        <v>179695.23203719861</v>
      </c>
      <c r="C31" s="6">
        <f>C30*(1+(C11+(C15-C11)*5/5))</f>
        <v>164054.28793276465</v>
      </c>
      <c r="D31" s="6">
        <f>D30*(1+(D11+(D15-D11)*5/5))</f>
        <v>179695.23203719861</v>
      </c>
      <c r="E31" s="6">
        <f>E30*(1+(E11+(E15-E11)*5/5))</f>
        <v>179695.23203719861</v>
      </c>
    </row>
    <row r="33" spans="1:5" x14ac:dyDescent="0.4">
      <c r="A33" t="s">
        <v>298</v>
      </c>
      <c r="B33" s="6">
        <f>B22*(B12+(B13-B12)*0/4)*(1-B17)-B22*B14</f>
        <v>22384.16646873637</v>
      </c>
      <c r="C33" s="6">
        <f>C22*(C12+(C13-C12)*0/4)*(1-C17)-C22*C14</f>
        <v>22095.433917800096</v>
      </c>
      <c r="D33" s="6">
        <f>D22*(D12+(D13-D12)*0/4)*(1-D17)-D22*D14</f>
        <v>22384.16646873637</v>
      </c>
      <c r="E33" s="6">
        <f>E22*(E12+(E13-E12)*0/4)*(1-E17)-E22*E14</f>
        <v>22384.16646873637</v>
      </c>
    </row>
    <row r="34" spans="1:5" x14ac:dyDescent="0.4">
      <c r="A34" t="s">
        <v>299</v>
      </c>
      <c r="B34" s="6">
        <f>B23*(B12+(B13-B12)*1/4)*(1-B17)-B23*B14</f>
        <v>23835.872394026479</v>
      </c>
      <c r="C34" s="6">
        <f>C23*(C12+(C13-C12)*1/4)*(1-C17)-C23*C14</f>
        <v>23224.922178328507</v>
      </c>
      <c r="D34" s="6">
        <f>D23*(D12+(D13-D12)*1/4)*(1-D17)-D23*D14</f>
        <v>23304.308493076551</v>
      </c>
      <c r="E34" s="6">
        <f>E23*(E12+(E13-E12)*1/4)*(1-E17)-E23*E14</f>
        <v>23835.872394026479</v>
      </c>
    </row>
    <row r="35" spans="1:5" x14ac:dyDescent="0.4">
      <c r="A35" t="s">
        <v>300</v>
      </c>
      <c r="B35" s="6">
        <f>B24*(B12+(B13-B12)*2/4)*(1-B17)-B24*B14</f>
        <v>25375.657162244843</v>
      </c>
      <c r="C35" s="6">
        <f>C24*(C12+(C13-C12)*2/4)*(1-C17)-C24*C14</f>
        <v>24406.309913297551</v>
      </c>
      <c r="D35" s="6">
        <f>D24*(D12+(D13-D12)*2/4)*(1-D17)-D24*D14</f>
        <v>24261.088455482968</v>
      </c>
      <c r="E35" s="6">
        <f>E24*(E12+(E13-E12)*2/4)*(1-E17)-E24*E14</f>
        <v>25375.657162244843</v>
      </c>
    </row>
    <row r="36" spans="1:5" x14ac:dyDescent="0.4">
      <c r="A36" t="s">
        <v>301</v>
      </c>
      <c r="B36" s="6">
        <f>B25*(B12+(B13-B12)*3/4)*(1-B17)-B25*B14</f>
        <v>27008.645611538061</v>
      </c>
      <c r="C36" s="6">
        <f>C25*(C12+(C13-C12)*3/4)*(1-C17)-C25*C14</f>
        <v>25641.843059979608</v>
      </c>
      <c r="D36" s="6">
        <f>D25*(D12+(D13-D12)*3/4)*(1-D17)-D25*D14</f>
        <v>25255.897635415804</v>
      </c>
      <c r="E36" s="6">
        <f>E25*(E12+(E13-E12)*3/4)*(1-E17)-E25*E14</f>
        <v>27008.645611538061</v>
      </c>
    </row>
    <row r="37" spans="1:5" x14ac:dyDescent="0.4">
      <c r="A37" t="s">
        <v>302</v>
      </c>
      <c r="B37" s="6">
        <f>B26*(B12+(B13-B12)*4/4)*(1-B17)-B26*B14</f>
        <v>28740.25231091712</v>
      </c>
      <c r="C37" s="6">
        <f>C26*(C12+(C13-C12)*4/4)*(1-C17)-C26*C14</f>
        <v>26933.86107600051</v>
      </c>
      <c r="D37" s="6">
        <f>D26*(D12+(D13-D12)*4/4)*(1-D17)-D26*D14</f>
        <v>26290.176172018291</v>
      </c>
      <c r="E37" s="6">
        <f>E26*(E12+(E13-E12)*4/4)*(1-E17)-E26*E14</f>
        <v>28740.25231091712</v>
      </c>
    </row>
    <row r="38" spans="1:5" x14ac:dyDescent="0.4">
      <c r="A38" t="s">
        <v>303</v>
      </c>
      <c r="B38" s="6">
        <f>B27*B13*(1-B17)-B27*B14</f>
        <v>29986.355375285868</v>
      </c>
      <c r="C38" s="6">
        <f>C27*C13*(1-C17)-C27*C14</f>
        <v>27810.260293630574</v>
      </c>
      <c r="D38" s="6">
        <f>D27*D13*(1-D17)-D27*D14</f>
        <v>27430.050266940627</v>
      </c>
      <c r="E38" s="6">
        <f>E27*E13*(1-E17)-E27*E14</f>
        <v>29986.355375285868</v>
      </c>
    </row>
    <row r="39" spans="1:5" x14ac:dyDescent="0.4">
      <c r="A39" t="s">
        <v>304</v>
      </c>
      <c r="B39" s="6">
        <f>B28*B13*(1-B17)-B28*B14</f>
        <v>31135.685961720188</v>
      </c>
      <c r="C39" s="6">
        <f>C28*C13*(1-C17)-C28*C14</f>
        <v>28650.536001076693</v>
      </c>
      <c r="D39" s="6">
        <f>D28*D13*(1-D17)-D28*D14</f>
        <v>28481.401635410333</v>
      </c>
      <c r="E39" s="6">
        <f>E28*E13*(1-E17)-E28*E14</f>
        <v>31135.685961720188</v>
      </c>
    </row>
    <row r="40" spans="1:5" x14ac:dyDescent="0.4">
      <c r="A40" t="s">
        <v>305</v>
      </c>
      <c r="B40" s="6">
        <f>B29*B13*(1-B17)-B29*B14</f>
        <v>32172.488382558506</v>
      </c>
      <c r="C40" s="6">
        <f>C29*C13*(1-C17)-C29*C14</f>
        <v>29449.606598242823</v>
      </c>
      <c r="D40" s="6">
        <f>D29*D13*(1-D17)-D29*D14</f>
        <v>29429.817745489523</v>
      </c>
      <c r="E40" s="6">
        <f>E29*E13*(1-E17)-E29*E14</f>
        <v>32172.488382558506</v>
      </c>
    </row>
    <row r="41" spans="1:5" x14ac:dyDescent="0.4">
      <c r="A41" t="s">
        <v>306</v>
      </c>
      <c r="B41" s="6">
        <f>B30*B13*(1-B17)-B30*B14</f>
        <v>33082.021524350304</v>
      </c>
      <c r="C41" s="6">
        <f>C30*C13*(1-C17)-C30*C14</f>
        <v>30202.512459708403</v>
      </c>
      <c r="D41" s="6">
        <f>D30*D13*(1-D17)-D30*D14</f>
        <v>30261.814148071997</v>
      </c>
      <c r="E41" s="6">
        <f>E30*E13*(1-E17)-E30*E14</f>
        <v>33082.021524350304</v>
      </c>
    </row>
    <row r="42" spans="1:5" x14ac:dyDescent="0.4">
      <c r="A42" t="s">
        <v>307</v>
      </c>
      <c r="B42" s="6">
        <f>B31*B13*(1-B17)-B31*B14</f>
        <v>33850.899367257291</v>
      </c>
      <c r="C42" s="6">
        <f>C31*C13*(1-C17)-C31*C14</f>
        <v>30904.466015155405</v>
      </c>
      <c r="D42" s="6">
        <f>D31*D13*(1-D17)-D31*D14</f>
        <v>30965.145967365304</v>
      </c>
      <c r="E42" s="6">
        <f>E31*E13*(1-E17)-E31*E14</f>
        <v>33850.899367257291</v>
      </c>
    </row>
    <row r="44" spans="1:5" x14ac:dyDescent="0.4">
      <c r="A44" t="s">
        <v>123</v>
      </c>
      <c r="B44" s="6">
        <f>B33/(1+B16)^1</f>
        <v>21090.494702111137</v>
      </c>
      <c r="C44" s="6">
        <f>C33/(1+C16)^1</f>
        <v>20818.449176343911</v>
      </c>
      <c r="D44" s="6">
        <f>D33/(1+D16)^1</f>
        <v>21090.494702111137</v>
      </c>
      <c r="E44" s="6">
        <f>E33/(1+E16)^1</f>
        <v>21027.14011891992</v>
      </c>
    </row>
    <row r="45" spans="1:5" x14ac:dyDescent="0.4">
      <c r="A45" t="s">
        <v>124</v>
      </c>
      <c r="B45" s="6">
        <f>B34/(1+B16)^2</f>
        <v>21160.344372231393</v>
      </c>
      <c r="C45" s="6">
        <f>C34/(1+C16)^2</f>
        <v>20617.972071157234</v>
      </c>
      <c r="D45" s="6">
        <f>D34/(1+D16)^2</f>
        <v>20688.447434120328</v>
      </c>
      <c r="E45" s="6">
        <f>E34/(1+E16)^2</f>
        <v>21033.406501069701</v>
      </c>
    </row>
    <row r="46" spans="1:5" x14ac:dyDescent="0.4">
      <c r="A46" t="s">
        <v>125</v>
      </c>
      <c r="B46" s="6">
        <f>B35/(1+B16)^3</f>
        <v>21225.347903873881</v>
      </c>
      <c r="C46" s="6">
        <f>C35/(1+C16)^3</f>
        <v>20414.542001704718</v>
      </c>
      <c r="D46" s="6">
        <f>D35/(1+D16)^3</f>
        <v>20293.072203089676</v>
      </c>
      <c r="E46" s="6">
        <f>E35/(1+E16)^3</f>
        <v>21034.642896855054</v>
      </c>
    </row>
    <row r="47" spans="1:5" x14ac:dyDescent="0.4">
      <c r="A47" t="s">
        <v>126</v>
      </c>
      <c r="B47" s="6">
        <f>B36/(1+B16)^4</f>
        <v>21285.613179316253</v>
      </c>
      <c r="C47" s="6">
        <f>C36/(1+C16)^4</f>
        <v>20208.43104943755</v>
      </c>
      <c r="D47" s="6">
        <f>D36/(1+D16)^4</f>
        <v>19904.266037472542</v>
      </c>
      <c r="E47" s="6">
        <f>E36/(1+E16)^4</f>
        <v>21031.000487819125</v>
      </c>
    </row>
    <row r="48" spans="1:5" x14ac:dyDescent="0.4">
      <c r="A48" t="s">
        <v>127</v>
      </c>
      <c r="B48" s="6">
        <f>B37/(1+B16)^5</f>
        <v>21341.246169405942</v>
      </c>
      <c r="C48" s="6">
        <f>C37/(1+C16)^5</f>
        <v>19999.899558890316</v>
      </c>
      <c r="D48" s="6">
        <f>D37/(1+D16)^5</f>
        <v>19521.927485339769</v>
      </c>
      <c r="E48" s="6">
        <f>E37/(1+E16)^5</f>
        <v>21022.627025992391</v>
      </c>
    </row>
    <row r="49" spans="1:5" x14ac:dyDescent="0.4">
      <c r="A49" t="s">
        <v>159</v>
      </c>
      <c r="B49" s="6">
        <f>B38/(1+B16)^6</f>
        <v>20979.673362895937</v>
      </c>
      <c r="C49" s="6">
        <f>C38/(1+C16)^6</f>
        <v>19457.188771208635</v>
      </c>
      <c r="D49" s="6">
        <f>D38/(1+D16)^6</f>
        <v>19191.178378500914</v>
      </c>
      <c r="E49" s="6">
        <f>E38/(1+E16)^6</f>
        <v>20604.371620033322</v>
      </c>
    </row>
    <row r="50" spans="1:5" x14ac:dyDescent="0.4">
      <c r="A50" t="s">
        <v>160</v>
      </c>
      <c r="B50" s="6">
        <f>B39/(1+B16)^7</f>
        <v>20524.818091295045</v>
      </c>
      <c r="C50" s="6">
        <f>C39/(1+C16)^7</f>
        <v>18886.593356676778</v>
      </c>
      <c r="D50" s="6">
        <f>D39/(1+D16)^7</f>
        <v>18775.099038146054</v>
      </c>
      <c r="E50" s="6">
        <f>E39/(1+E16)^7</f>
        <v>20097.100792495901</v>
      </c>
    </row>
    <row r="51" spans="1:5" x14ac:dyDescent="0.4">
      <c r="A51" t="s">
        <v>161</v>
      </c>
      <c r="B51" s="6">
        <f>B40/(1+B16)^8</f>
        <v>19982.571286293613</v>
      </c>
      <c r="C51" s="6">
        <f>C40/(1+C16)^8</f>
        <v>18291.369203562095</v>
      </c>
      <c r="D51" s="6">
        <f>D40/(1+D16)^8</f>
        <v>18279.078200264037</v>
      </c>
      <c r="E51" s="6">
        <f>E40/(1+E16)^8</f>
        <v>19507.378330247429</v>
      </c>
    </row>
    <row r="52" spans="1:5" x14ac:dyDescent="0.4">
      <c r="A52" t="s">
        <v>162</v>
      </c>
      <c r="B52" s="6">
        <f>B41/(1+B16)^9</f>
        <v>19359.966339785202</v>
      </c>
      <c r="C52" s="6">
        <f>C41/(1+C16)^9</f>
        <v>17674.845661003816</v>
      </c>
      <c r="D52" s="6">
        <f>D41/(1+D16)^9</f>
        <v>17709.549667521875</v>
      </c>
      <c r="E52" s="6">
        <f>E41/(1+E16)^9</f>
        <v>18842.805956175012</v>
      </c>
    </row>
    <row r="53" spans="1:5" x14ac:dyDescent="0.4">
      <c r="A53" t="s">
        <v>163</v>
      </c>
      <c r="B53" s="6">
        <f>B42/(1+B16)^10</f>
        <v>18665.026441975846</v>
      </c>
      <c r="C53" s="6">
        <f>C42/(1+C16)^10</f>
        <v>17040.394380362261</v>
      </c>
      <c r="D53" s="6">
        <f>D42/(1+D16)^10</f>
        <v>17073.852661638863</v>
      </c>
      <c r="E53" s="6">
        <f>E42/(1+E16)^10</f>
        <v>18111.859034182322</v>
      </c>
    </row>
    <row r="54" spans="1:5" x14ac:dyDescent="0.4">
      <c r="A54" t="s">
        <v>165</v>
      </c>
      <c r="B54" s="6">
        <f>SUM(B44:B53)</f>
        <v>205615.10184918426</v>
      </c>
      <c r="C54" s="6">
        <f>SUM(C44:C53)</f>
        <v>193409.68523034733</v>
      </c>
      <c r="D54" s="6">
        <f>SUM(D44:D53)</f>
        <v>192526.96580820519</v>
      </c>
      <c r="E54" s="6">
        <f>SUM(E44:E53)</f>
        <v>202312.33276379021</v>
      </c>
    </row>
    <row r="55" spans="1:5" x14ac:dyDescent="0.4">
      <c r="A55" t="s">
        <v>166</v>
      </c>
      <c r="B55" s="6">
        <f>B42*(1+B15)/MAX(B16-B15,0.01)</f>
        <v>909183.56215583417</v>
      </c>
      <c r="C55" s="6">
        <f>C42*(1+C15)/MAX(C16-C15,0.01)</f>
        <v>830046.85321184981</v>
      </c>
      <c r="D55" s="6">
        <f>D42*(1+D15)/MAX(D16-D15,0.01)</f>
        <v>831676.62424106512</v>
      </c>
      <c r="E55" s="6">
        <f>E42*(1+E15)/MAX(E16-E15,0.01)</f>
        <v>838778.71165888791</v>
      </c>
    </row>
    <row r="56" spans="1:5" x14ac:dyDescent="0.4">
      <c r="A56" t="s">
        <v>167</v>
      </c>
      <c r="B56" s="6">
        <f>B55/(1+B16)^10</f>
        <v>501314.16137979541</v>
      </c>
      <c r="C56" s="6">
        <f>C55/(1+C16)^10</f>
        <v>457679.02043582546</v>
      </c>
      <c r="D56" s="6">
        <f>D55/(1+D16)^10</f>
        <v>458577.65887448663</v>
      </c>
      <c r="E56" s="6">
        <f>E55/(1+E16)^10</f>
        <v>448786.94718325092</v>
      </c>
    </row>
    <row r="57" spans="1:5" x14ac:dyDescent="0.4">
      <c r="A57" t="s">
        <v>308</v>
      </c>
      <c r="B57" s="6">
        <f>B54+B56</f>
        <v>706929.26322897966</v>
      </c>
      <c r="C57" s="6">
        <f>C54+C56</f>
        <v>651088.70566617278</v>
      </c>
      <c r="D57" s="6">
        <f>D54+D56</f>
        <v>651104.62468269188</v>
      </c>
      <c r="E57" s="6">
        <f>E54+E56</f>
        <v>651099.27994704107</v>
      </c>
    </row>
    <row r="58" spans="1:5" x14ac:dyDescent="0.4">
      <c r="A58" t="s">
        <v>309</v>
      </c>
      <c r="B58" s="6">
        <f>B57+B18+B19</f>
        <v>187289.96322897967</v>
      </c>
      <c r="C58" s="6">
        <f>C57+C18+C19</f>
        <v>131449.4056661728</v>
      </c>
      <c r="D58" s="6">
        <f>D57+D18+D19</f>
        <v>131465.32468269189</v>
      </c>
      <c r="E58" s="6">
        <f>E57+E18+E19</f>
        <v>131459.97994704108</v>
      </c>
    </row>
    <row r="59" spans="1:5" x14ac:dyDescent="0.4">
      <c r="A59" s="4" t="s">
        <v>310</v>
      </c>
      <c r="B59" s="32">
        <f>B58/B20</f>
        <v>38.45000271586526</v>
      </c>
      <c r="C59" s="32">
        <f>C58/C20</f>
        <v>26.986123109458592</v>
      </c>
      <c r="D59" s="32">
        <f>D58/D20</f>
        <v>26.98939123027959</v>
      </c>
      <c r="E59" s="32">
        <f>E58/E20</f>
        <v>26.988293973935757</v>
      </c>
    </row>
    <row r="60" spans="1:5" x14ac:dyDescent="0.4">
      <c r="A60" t="s">
        <v>311</v>
      </c>
      <c r="B60" s="6">
        <f>B59-B5</f>
        <v>2.71586525713019E-6</v>
      </c>
      <c r="C60" s="6">
        <f>C59-B4</f>
        <v>-3.8768905414059418E-3</v>
      </c>
      <c r="D60" s="6">
        <f>D59-B4</f>
        <v>-6.0876972040802002E-4</v>
      </c>
      <c r="E60" s="6">
        <f>E59-B4</f>
        <v>-1.706026064240973E-3</v>
      </c>
    </row>
    <row r="62" spans="1:5" x14ac:dyDescent="0.4">
      <c r="A62" s="3" t="s">
        <v>312</v>
      </c>
    </row>
    <row r="63" spans="1:5" x14ac:dyDescent="0.4">
      <c r="A63" t="s">
        <v>313</v>
      </c>
      <c r="B63" s="46">
        <v>2.4740000000000002</v>
      </c>
    </row>
    <row r="64" spans="1:5" x14ac:dyDescent="0.4">
      <c r="A64" t="s">
        <v>314</v>
      </c>
      <c r="B64" s="47">
        <v>7.1879999999999997</v>
      </c>
    </row>
    <row r="65" spans="1:3" x14ac:dyDescent="0.4">
      <c r="A65" t="s">
        <v>315</v>
      </c>
      <c r="B65" s="48">
        <v>14.922651999999999</v>
      </c>
    </row>
    <row r="66" spans="1:3" x14ac:dyDescent="0.4">
      <c r="A66" t="s">
        <v>316</v>
      </c>
      <c r="B66" s="48">
        <v>10.681293500000001</v>
      </c>
    </row>
    <row r="67" spans="1:3" x14ac:dyDescent="0.4">
      <c r="A67" t="s">
        <v>317</v>
      </c>
      <c r="B67" s="48">
        <v>2.0613600999999999</v>
      </c>
    </row>
    <row r="69" spans="1:3" x14ac:dyDescent="0.4">
      <c r="A69" s="4" t="s">
        <v>318</v>
      </c>
      <c r="B69" s="2" t="s">
        <v>319</v>
      </c>
      <c r="C69" s="2" t="s">
        <v>320</v>
      </c>
    </row>
    <row r="70" spans="1:3" x14ac:dyDescent="0.4">
      <c r="B70" s="49">
        <v>2025</v>
      </c>
      <c r="C70" s="50">
        <v>2.34</v>
      </c>
    </row>
    <row r="71" spans="1:3" x14ac:dyDescent="0.4">
      <c r="B71" s="49">
        <v>2024</v>
      </c>
      <c r="C71" s="50">
        <v>2.4500000000000002</v>
      </c>
    </row>
    <row r="72" spans="1:3" x14ac:dyDescent="0.4">
      <c r="B72" s="49">
        <v>2023</v>
      </c>
      <c r="C72" s="50">
        <v>2.2200000000000002</v>
      </c>
    </row>
    <row r="73" spans="1:3" x14ac:dyDescent="0.4">
      <c r="B73" s="49">
        <v>2022</v>
      </c>
      <c r="C73" s="50">
        <v>2.04</v>
      </c>
    </row>
    <row r="77" spans="1:3" x14ac:dyDescent="0.4">
      <c r="A77" s="3" t="s">
        <v>321</v>
      </c>
    </row>
    <row r="79" spans="1:3" x14ac:dyDescent="0.4">
      <c r="A79" t="s">
        <v>322</v>
      </c>
      <c r="B79" s="51">
        <v>302433</v>
      </c>
    </row>
    <row r="80" spans="1:3" x14ac:dyDescent="0.4">
      <c r="A80" t="s">
        <v>323</v>
      </c>
      <c r="B80" s="51">
        <v>358262</v>
      </c>
    </row>
    <row r="81" spans="1:2" x14ac:dyDescent="0.4">
      <c r="A81" t="s">
        <v>324</v>
      </c>
      <c r="B81" s="51">
        <v>42075</v>
      </c>
    </row>
    <row r="82" spans="1:2" x14ac:dyDescent="0.4">
      <c r="A82" t="s">
        <v>325</v>
      </c>
      <c r="B82" s="51">
        <v>53846</v>
      </c>
    </row>
    <row r="83" spans="1:2" x14ac:dyDescent="0.4">
      <c r="A83" s="4" t="s">
        <v>326</v>
      </c>
      <c r="B83" s="33">
        <f>IF(B81&gt;0,B79/B81,"")</f>
        <v>7.1879500891265593</v>
      </c>
    </row>
    <row r="84" spans="1:2" x14ac:dyDescent="0.4">
      <c r="A84" s="4" t="s">
        <v>327</v>
      </c>
      <c r="B84" s="33">
        <f>IF(B81&gt;0,B80/B81,"")</f>
        <v>8.5148425430778367</v>
      </c>
    </row>
    <row r="85" spans="1:2" x14ac:dyDescent="0.4">
      <c r="A85" s="4" t="s">
        <v>328</v>
      </c>
      <c r="B85" s="33">
        <f>IF(B82&gt;0,B79/B82,"")</f>
        <v>5.6166289046540134</v>
      </c>
    </row>
    <row r="86" spans="1:2" x14ac:dyDescent="0.4">
      <c r="A86" s="4" t="s">
        <v>329</v>
      </c>
      <c r="B86" s="33">
        <f>IF(B82&gt;0,B80/B82,"")</f>
        <v>6.6534561527318647</v>
      </c>
    </row>
    <row r="88" spans="1:2" x14ac:dyDescent="0.4">
      <c r="A88" s="4" t="s">
        <v>330</v>
      </c>
    </row>
    <row r="89" spans="1:2" x14ac:dyDescent="0.4">
      <c r="A89" t="s">
        <v>331</v>
      </c>
      <c r="B89" s="47">
        <v>5.35</v>
      </c>
    </row>
    <row r="90" spans="1:2" x14ac:dyDescent="0.4">
      <c r="A90" t="s">
        <v>332</v>
      </c>
      <c r="B90" s="47">
        <v>5.42</v>
      </c>
    </row>
    <row r="91" spans="1:2" x14ac:dyDescent="0.4">
      <c r="A91" t="s">
        <v>333</v>
      </c>
      <c r="B91" s="47">
        <v>5.6</v>
      </c>
    </row>
    <row r="93" spans="1:2" x14ac:dyDescent="0.4">
      <c r="A93" s="4" t="s">
        <v>334</v>
      </c>
      <c r="B93" s="52" t="s">
        <v>335</v>
      </c>
    </row>
    <row r="94" spans="1:2" x14ac:dyDescent="0.4">
      <c r="A94" t="s">
        <v>336</v>
      </c>
      <c r="B94" s="42" t="s">
        <v>337</v>
      </c>
    </row>
    <row r="96" spans="1:2" x14ac:dyDescent="0.4">
      <c r="A96" s="3" t="s">
        <v>338</v>
      </c>
    </row>
    <row r="97" spans="1:5" x14ac:dyDescent="0.4">
      <c r="A97" s="4" t="s">
        <v>339</v>
      </c>
      <c r="B97" s="53">
        <v>0.48899999999999999</v>
      </c>
    </row>
    <row r="98" spans="1:5" x14ac:dyDescent="0.4">
      <c r="A98" t="s">
        <v>340</v>
      </c>
      <c r="B98" s="47">
        <v>7.35</v>
      </c>
      <c r="C98" s="47">
        <v>7.84</v>
      </c>
      <c r="D98" s="47">
        <v>11.65</v>
      </c>
    </row>
    <row r="99" spans="1:5" x14ac:dyDescent="0.4">
      <c r="A99" s="4" t="s">
        <v>341</v>
      </c>
      <c r="B99" s="4" t="s">
        <v>342</v>
      </c>
      <c r="C99" s="4" t="s">
        <v>343</v>
      </c>
      <c r="D99" s="4" t="s">
        <v>344</v>
      </c>
      <c r="E99" s="4" t="s">
        <v>345</v>
      </c>
    </row>
    <row r="100" spans="1:5" x14ac:dyDescent="0.4">
      <c r="A100" s="49" t="s">
        <v>346</v>
      </c>
      <c r="B100" s="54">
        <v>0.24399999999999999</v>
      </c>
      <c r="C100" s="54">
        <v>0.42299999999999999</v>
      </c>
      <c r="D100" s="54">
        <v>0.98299999999999998</v>
      </c>
      <c r="E100" s="55">
        <v>7.69</v>
      </c>
    </row>
    <row r="101" spans="1:5" x14ac:dyDescent="0.4">
      <c r="A101" s="49" t="s">
        <v>347</v>
      </c>
      <c r="B101" s="54">
        <v>0.313</v>
      </c>
      <c r="C101" s="54">
        <v>0.55700000000000005</v>
      </c>
      <c r="D101" s="54">
        <v>1.0409999999999999</v>
      </c>
      <c r="E101" s="55">
        <v>7.3479999999999999</v>
      </c>
    </row>
    <row r="102" spans="1:5" x14ac:dyDescent="0.4">
      <c r="A102" s="49" t="s">
        <v>348</v>
      </c>
      <c r="B102" s="54">
        <v>0.221</v>
      </c>
      <c r="C102" s="54">
        <v>0.43</v>
      </c>
      <c r="D102" s="54">
        <v>1.256</v>
      </c>
      <c r="E102" s="55">
        <v>7.8369999999999997</v>
      </c>
    </row>
    <row r="103" spans="1:5" x14ac:dyDescent="0.4">
      <c r="A103" s="49" t="s">
        <v>349</v>
      </c>
      <c r="B103" s="54">
        <v>0.44700000000000001</v>
      </c>
      <c r="C103" s="54">
        <v>1.111</v>
      </c>
      <c r="D103" s="54">
        <v>1.978</v>
      </c>
      <c r="E103" s="55">
        <v>8.0210000000000008</v>
      </c>
    </row>
    <row r="104" spans="1:5" x14ac:dyDescent="0.4">
      <c r="A104" s="49" t="s">
        <v>350</v>
      </c>
      <c r="B104" s="54">
        <v>0.32900000000000001</v>
      </c>
      <c r="C104" s="54">
        <v>0.46300000000000002</v>
      </c>
      <c r="D104" s="54">
        <v>0.54200000000000004</v>
      </c>
      <c r="E104" s="55">
        <v>11.651</v>
      </c>
    </row>
    <row r="105" spans="1:5" x14ac:dyDescent="0.4">
      <c r="A105" s="49" t="s">
        <v>6</v>
      </c>
      <c r="B105" s="54">
        <v>0.48899999999999999</v>
      </c>
      <c r="C105" s="54">
        <v>0.78</v>
      </c>
      <c r="D105" s="54">
        <v>0.79500000000000004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6"/>
  <sheetViews>
    <sheetView workbookViewId="0"/>
  </sheetViews>
  <sheetFormatPr baseColWidth="10" defaultColWidth="9.23046875" defaultRowHeight="14.6" x14ac:dyDescent="0.4"/>
  <cols>
    <col min="1" max="1" width="36" customWidth="1"/>
    <col min="2" max="2" width="18" customWidth="1"/>
  </cols>
  <sheetData>
    <row r="1" spans="1:2" ht="15.9" customHeight="1" x14ac:dyDescent="0.45">
      <c r="A1" s="34" t="s">
        <v>351</v>
      </c>
    </row>
    <row r="2" spans="1:2" x14ac:dyDescent="0.4">
      <c r="A2" s="2" t="s">
        <v>352</v>
      </c>
    </row>
    <row r="4" spans="1:2" x14ac:dyDescent="0.4">
      <c r="A4" s="4" t="s">
        <v>353</v>
      </c>
      <c r="B4" s="30" t="s">
        <v>354</v>
      </c>
    </row>
    <row r="5" spans="1:2" x14ac:dyDescent="0.4">
      <c r="A5" s="4" t="s">
        <v>355</v>
      </c>
      <c r="B5" s="30" t="s">
        <v>356</v>
      </c>
    </row>
    <row r="6" spans="1:2" x14ac:dyDescent="0.4">
      <c r="A6" s="4" t="s">
        <v>357</v>
      </c>
      <c r="B6" s="30" t="s">
        <v>358</v>
      </c>
    </row>
    <row r="7" spans="1:2" x14ac:dyDescent="0.4">
      <c r="A7" s="4" t="s">
        <v>359</v>
      </c>
      <c r="B7" s="30" t="s">
        <v>360</v>
      </c>
    </row>
    <row r="8" spans="1:2" x14ac:dyDescent="0.4">
      <c r="A8" s="4" t="s">
        <v>361</v>
      </c>
      <c r="B8" s="30" t="s">
        <v>362</v>
      </c>
    </row>
    <row r="9" spans="1:2" x14ac:dyDescent="0.4">
      <c r="A9" s="4" t="s">
        <v>363</v>
      </c>
      <c r="B9" s="30" t="s">
        <v>364</v>
      </c>
    </row>
    <row r="10" spans="1:2" x14ac:dyDescent="0.4">
      <c r="A10" s="4" t="s">
        <v>365</v>
      </c>
      <c r="B10" s="30" t="s">
        <v>260</v>
      </c>
    </row>
    <row r="11" spans="1:2" x14ac:dyDescent="0.4">
      <c r="A11" s="4" t="s">
        <v>366</v>
      </c>
      <c r="B11" s="30" t="s">
        <v>367</v>
      </c>
    </row>
    <row r="12" spans="1:2" x14ac:dyDescent="0.4">
      <c r="A12" s="4" t="s">
        <v>368</v>
      </c>
      <c r="B12" s="30" t="s">
        <v>369</v>
      </c>
    </row>
    <row r="13" spans="1:2" x14ac:dyDescent="0.4">
      <c r="A13" s="4" t="s">
        <v>370</v>
      </c>
      <c r="B13" s="30" t="s">
        <v>371</v>
      </c>
    </row>
    <row r="14" spans="1:2" x14ac:dyDescent="0.4">
      <c r="A14" s="4" t="s">
        <v>372</v>
      </c>
      <c r="B14" s="30" t="s">
        <v>258</v>
      </c>
    </row>
    <row r="15" spans="1:2" x14ac:dyDescent="0.4">
      <c r="A15" s="4" t="s">
        <v>373</v>
      </c>
      <c r="B15" s="30" t="s">
        <v>260</v>
      </c>
    </row>
    <row r="16" spans="1:2" x14ac:dyDescent="0.4">
      <c r="A16" s="4" t="s">
        <v>374</v>
      </c>
      <c r="B16" s="30" t="s">
        <v>262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23</vt:i4>
      </vt:variant>
    </vt:vector>
  </HeadingPairs>
  <TitlesOfParts>
    <vt:vector size="31" baseType="lpstr">
      <vt:lpstr>Inputs</vt:lpstr>
      <vt:lpstr>DCF Base</vt:lpstr>
      <vt:lpstr>DCF Bull</vt:lpstr>
      <vt:lpstr>DCF Bear</vt:lpstr>
      <vt:lpstr>Adjustments</vt:lpstr>
      <vt:lpstr>Szenarien</vt:lpstr>
      <vt:lpstr>Markt-implizit</vt:lpstr>
      <vt:lpstr>Outputs</vt:lpstr>
      <vt:lpstr>OUT_EQUITY</vt:lpstr>
      <vt:lpstr>OUT_GROUP_EV</vt:lpstr>
      <vt:lpstr>OUT_MINORITY</vt:lpstr>
      <vt:lpstr>OUT_NET_DEBT</vt:lpstr>
      <vt:lpstr>OUT_PRICE_TARGET</vt:lpstr>
      <vt:lpstr>OUT_SEG_EV_1</vt:lpstr>
      <vt:lpstr>OUT_SEG_EV_2</vt:lpstr>
      <vt:lpstr>OUT_SEG_EV_3</vt:lpstr>
      <vt:lpstr>OUT_SEG_EV_4</vt:lpstr>
      <vt:lpstr>OUT_SEG_EV_5</vt:lpstr>
      <vt:lpstr>OUT_SEG_EV_6</vt:lpstr>
      <vt:lpstr>OUT_SEG_EV_7</vt:lpstr>
      <vt:lpstr>OUT_SEG_EV_8</vt:lpstr>
      <vt:lpstr>OUT_SEG_WACC_1</vt:lpstr>
      <vt:lpstr>OUT_SEG_WACC_2</vt:lpstr>
      <vt:lpstr>OUT_SEG_WACC_3</vt:lpstr>
      <vt:lpstr>OUT_SEG_WACC_4</vt:lpstr>
      <vt:lpstr>OUT_SEG_WACC_5</vt:lpstr>
      <vt:lpstr>OUT_SEG_WACC_6</vt:lpstr>
      <vt:lpstr>OUT_SEG_WACC_7</vt:lpstr>
      <vt:lpstr>OUT_SEG_WACC_8</vt:lpstr>
      <vt:lpstr>OUT_SHARES</vt:lpstr>
      <vt:lpstr>OUT_WACC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Jannick Wrage</cp:lastModifiedBy>
  <dcterms:created xsi:type="dcterms:W3CDTF">2026-07-27T11:26:06Z</dcterms:created>
  <dcterms:modified xsi:type="dcterms:W3CDTF">2026-07-30T14:54:13Z</dcterms:modified>
</cp:coreProperties>
</file>