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janni\Documents\Claude\Projects\FinSurf\output\Deutsche_Telekom\2026-08-19_run1\"/>
    </mc:Choice>
  </mc:AlternateContent>
  <xr:revisionPtr revIDLastSave="0" documentId="13_ncr:1_{B7C87FC8-DB93-4491-A6FC-7F81CF262DD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nputs" sheetId="1" r:id="rId1"/>
    <sheet name="DCF Base" sheetId="2" r:id="rId2"/>
    <sheet name="DCF Bull" sheetId="3" r:id="rId3"/>
    <sheet name="DCF Bear" sheetId="4" r:id="rId4"/>
    <sheet name="Adjustments" sheetId="5" r:id="rId5"/>
    <sheet name="Szenarien" sheetId="6" r:id="rId6"/>
    <sheet name="Markt-implizit" sheetId="7" r:id="rId7"/>
    <sheet name="Outputs" sheetId="8" r:id="rId8"/>
  </sheets>
  <definedNames>
    <definedName name="OUT_EQUITY">'DCF Base'!$K$119</definedName>
    <definedName name="OUT_GROUP_EV">'DCF Base'!$K$109</definedName>
    <definedName name="OUT_MINORITY">Inputs!$B$15</definedName>
    <definedName name="OUT_NET_DEBT">Inputs!$B$14</definedName>
    <definedName name="OUT_PRICE_TARGET">'DCF Base'!$K$122</definedName>
    <definedName name="OUT_SEG_EV_1">'DCF Base'!$C$109</definedName>
    <definedName name="OUT_SEG_EV_2">'DCF Base'!$D$109</definedName>
    <definedName name="OUT_SEG_EV_3">'DCF Base'!$E$109</definedName>
    <definedName name="OUT_SEG_EV_4">'DCF Base'!$F$109</definedName>
    <definedName name="OUT_SEG_EV_5">'DCF Base'!$G$109</definedName>
    <definedName name="OUT_SEG_EV_6">'DCF Base'!$H$109</definedName>
    <definedName name="OUT_SEG_EV_7">'DCF Base'!$I$109</definedName>
    <definedName name="OUT_SEG_EV_8">'DCF Base'!$J$109</definedName>
    <definedName name="OUT_SEG_WACC_1">'DCF Base'!$C$16</definedName>
    <definedName name="OUT_SEG_WACC_2">'DCF Base'!$D$16</definedName>
    <definedName name="OUT_SEG_WACC_3">'DCF Base'!$E$16</definedName>
    <definedName name="OUT_SEG_WACC_4">'DCF Base'!$F$16</definedName>
    <definedName name="OUT_SEG_WACC_5">'DCF Base'!$G$16</definedName>
    <definedName name="OUT_SEG_WACC_6">'DCF Base'!$H$16</definedName>
    <definedName name="OUT_SEG_WACC_7">'DCF Base'!$I$16</definedName>
    <definedName name="OUT_SEG_WACC_8">'DCF Base'!$J$16</definedName>
    <definedName name="OUT_SHARES">Inputs!$B$11</definedName>
    <definedName name="OUT_WACC">'DCF Base'!$K$110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86" i="7" l="1"/>
  <c r="B85" i="7"/>
  <c r="B84" i="7"/>
  <c r="B83" i="7"/>
  <c r="B34" i="7"/>
  <c r="B45" i="7" s="1"/>
  <c r="B26" i="7"/>
  <c r="B27" i="7" s="1"/>
  <c r="B38" i="7" s="1"/>
  <c r="B49" i="7" s="1"/>
  <c r="E25" i="7"/>
  <c r="D25" i="7"/>
  <c r="C25" i="7"/>
  <c r="B25" i="7"/>
  <c r="B36" i="7" s="1"/>
  <c r="B47" i="7" s="1"/>
  <c r="E24" i="7"/>
  <c r="D24" i="7"/>
  <c r="D35" i="7" s="1"/>
  <c r="C24" i="7"/>
  <c r="B24" i="7"/>
  <c r="B35" i="7" s="1"/>
  <c r="B46" i="7" s="1"/>
  <c r="B23" i="7"/>
  <c r="B22" i="7"/>
  <c r="B33" i="7" s="1"/>
  <c r="B44" i="7" s="1"/>
  <c r="E20" i="7"/>
  <c r="D20" i="7"/>
  <c r="C20" i="7"/>
  <c r="E19" i="7"/>
  <c r="D19" i="7"/>
  <c r="C19" i="7"/>
  <c r="E18" i="7"/>
  <c r="D18" i="7"/>
  <c r="C18" i="7"/>
  <c r="E17" i="7"/>
  <c r="D17" i="7"/>
  <c r="D36" i="7" s="1"/>
  <c r="C17" i="7"/>
  <c r="D16" i="7"/>
  <c r="C16" i="7"/>
  <c r="E15" i="7"/>
  <c r="D15" i="7"/>
  <c r="C15" i="7"/>
  <c r="E14" i="7"/>
  <c r="D14" i="7"/>
  <c r="C14" i="7"/>
  <c r="E13" i="7"/>
  <c r="C13" i="7"/>
  <c r="E12" i="7"/>
  <c r="D12" i="7"/>
  <c r="C12" i="7"/>
  <c r="E11" i="7"/>
  <c r="D11" i="7"/>
  <c r="E10" i="7"/>
  <c r="E26" i="7" s="1"/>
  <c r="D10" i="7"/>
  <c r="D26" i="7" s="1"/>
  <c r="C10" i="7"/>
  <c r="C26" i="7" s="1"/>
  <c r="B6" i="7"/>
  <c r="D9" i="5"/>
  <c r="D8" i="5"/>
  <c r="D7" i="5"/>
  <c r="D6" i="5"/>
  <c r="D11" i="5" s="1"/>
  <c r="D12" i="5" s="1"/>
  <c r="D5" i="5"/>
  <c r="B135" i="4"/>
  <c r="B131" i="4"/>
  <c r="B133" i="4" s="1"/>
  <c r="B134" i="4" s="1"/>
  <c r="B142" i="4" s="1"/>
  <c r="K121" i="4"/>
  <c r="K120" i="4"/>
  <c r="K111" i="4"/>
  <c r="J106" i="4"/>
  <c r="I106" i="4"/>
  <c r="H106" i="4"/>
  <c r="G106" i="4"/>
  <c r="D106" i="4"/>
  <c r="F88" i="4"/>
  <c r="F87" i="4"/>
  <c r="F75" i="4"/>
  <c r="F81" i="4" s="1"/>
  <c r="F93" i="4" s="1"/>
  <c r="J73" i="4"/>
  <c r="I73" i="4"/>
  <c r="H73" i="4"/>
  <c r="G73" i="4"/>
  <c r="F73" i="4"/>
  <c r="E73" i="4"/>
  <c r="D73" i="4"/>
  <c r="C73" i="4"/>
  <c r="J72" i="4"/>
  <c r="I72" i="4"/>
  <c r="H72" i="4"/>
  <c r="G72" i="4"/>
  <c r="F72" i="4"/>
  <c r="E72" i="4"/>
  <c r="D72" i="4"/>
  <c r="C72" i="4"/>
  <c r="J71" i="4"/>
  <c r="I71" i="4"/>
  <c r="H71" i="4"/>
  <c r="G71" i="4"/>
  <c r="F71" i="4"/>
  <c r="E71" i="4"/>
  <c r="D71" i="4"/>
  <c r="C71" i="4"/>
  <c r="J70" i="4"/>
  <c r="I70" i="4"/>
  <c r="H70" i="4"/>
  <c r="G70" i="4"/>
  <c r="F70" i="4"/>
  <c r="E70" i="4"/>
  <c r="D70" i="4"/>
  <c r="C70" i="4"/>
  <c r="J69" i="4"/>
  <c r="I69" i="4"/>
  <c r="H69" i="4"/>
  <c r="G69" i="4"/>
  <c r="F69" i="4"/>
  <c r="E69" i="4"/>
  <c r="D69" i="4"/>
  <c r="C69" i="4"/>
  <c r="J63" i="4"/>
  <c r="J75" i="4" s="1"/>
  <c r="J81" i="4" s="1"/>
  <c r="I63" i="4"/>
  <c r="I87" i="4" s="1"/>
  <c r="H63" i="4"/>
  <c r="G63" i="4"/>
  <c r="G64" i="4" s="1"/>
  <c r="F47" i="4"/>
  <c r="D47" i="4"/>
  <c r="C47" i="4"/>
  <c r="J46" i="4"/>
  <c r="I46" i="4"/>
  <c r="D45" i="4"/>
  <c r="C45" i="4"/>
  <c r="I43" i="4"/>
  <c r="H43" i="4"/>
  <c r="J31" i="4"/>
  <c r="I31" i="4"/>
  <c r="I37" i="4" s="1"/>
  <c r="H31" i="4"/>
  <c r="H37" i="4" s="1"/>
  <c r="G31" i="4"/>
  <c r="G37" i="4" s="1"/>
  <c r="G43" i="4" s="1"/>
  <c r="F31" i="4"/>
  <c r="F37" i="4" s="1"/>
  <c r="F43" i="4" s="1"/>
  <c r="E31" i="4"/>
  <c r="D31" i="4"/>
  <c r="C31" i="4"/>
  <c r="J30" i="4"/>
  <c r="I30" i="4"/>
  <c r="H30" i="4"/>
  <c r="G30" i="4"/>
  <c r="F30" i="4"/>
  <c r="E30" i="4"/>
  <c r="D30" i="4"/>
  <c r="C30" i="4"/>
  <c r="J29" i="4"/>
  <c r="I29" i="4"/>
  <c r="H29" i="4"/>
  <c r="G29" i="4"/>
  <c r="G35" i="4" s="1"/>
  <c r="G41" i="4" s="1"/>
  <c r="G53" i="4" s="1"/>
  <c r="F29" i="4"/>
  <c r="F35" i="4" s="1"/>
  <c r="F41" i="4" s="1"/>
  <c r="F53" i="4" s="1"/>
  <c r="E29" i="4"/>
  <c r="D29" i="4"/>
  <c r="D35" i="4" s="1"/>
  <c r="D41" i="4" s="1"/>
  <c r="C29" i="4"/>
  <c r="C35" i="4" s="1"/>
  <c r="C41" i="4" s="1"/>
  <c r="J28" i="4"/>
  <c r="J34" i="4" s="1"/>
  <c r="J40" i="4" s="1"/>
  <c r="J52" i="4" s="1"/>
  <c r="I28" i="4"/>
  <c r="I34" i="4" s="1"/>
  <c r="I40" i="4" s="1"/>
  <c r="I52" i="4" s="1"/>
  <c r="H28" i="4"/>
  <c r="H34" i="4" s="1"/>
  <c r="H40" i="4" s="1"/>
  <c r="H52" i="4" s="1"/>
  <c r="G28" i="4"/>
  <c r="G34" i="4" s="1"/>
  <c r="G40" i="4" s="1"/>
  <c r="G52" i="4" s="1"/>
  <c r="F28" i="4"/>
  <c r="E28" i="4"/>
  <c r="D28" i="4"/>
  <c r="C28" i="4"/>
  <c r="J27" i="4"/>
  <c r="I27" i="4"/>
  <c r="H27" i="4"/>
  <c r="G27" i="4"/>
  <c r="F27" i="4"/>
  <c r="E27" i="4"/>
  <c r="D27" i="4"/>
  <c r="C27" i="4"/>
  <c r="J25" i="4"/>
  <c r="J49" i="4" s="1"/>
  <c r="I25" i="4"/>
  <c r="I49" i="4" s="1"/>
  <c r="H25" i="4"/>
  <c r="H49" i="4" s="1"/>
  <c r="G25" i="4"/>
  <c r="G49" i="4" s="1"/>
  <c r="F25" i="4"/>
  <c r="F63" i="4" s="1"/>
  <c r="F64" i="4" s="1"/>
  <c r="E25" i="4"/>
  <c r="D25" i="4"/>
  <c r="D37" i="4" s="1"/>
  <c r="D43" i="4" s="1"/>
  <c r="C25" i="4"/>
  <c r="J24" i="4"/>
  <c r="J48" i="4" s="1"/>
  <c r="I24" i="4"/>
  <c r="I48" i="4" s="1"/>
  <c r="H24" i="4"/>
  <c r="H48" i="4" s="1"/>
  <c r="G24" i="4"/>
  <c r="G36" i="4" s="1"/>
  <c r="G42" i="4" s="1"/>
  <c r="F24" i="4"/>
  <c r="F36" i="4" s="1"/>
  <c r="F42" i="4" s="1"/>
  <c r="E24" i="4"/>
  <c r="D24" i="4"/>
  <c r="C24" i="4"/>
  <c r="J23" i="4"/>
  <c r="I23" i="4"/>
  <c r="I47" i="4" s="1"/>
  <c r="H23" i="4"/>
  <c r="G23" i="4"/>
  <c r="G47" i="4" s="1"/>
  <c r="F23" i="4"/>
  <c r="E23" i="4"/>
  <c r="E47" i="4" s="1"/>
  <c r="D23" i="4"/>
  <c r="C23" i="4"/>
  <c r="J22" i="4"/>
  <c r="I22" i="4"/>
  <c r="H22" i="4"/>
  <c r="H46" i="4" s="1"/>
  <c r="G22" i="4"/>
  <c r="G46" i="4" s="1"/>
  <c r="F22" i="4"/>
  <c r="F46" i="4" s="1"/>
  <c r="E22" i="4"/>
  <c r="E46" i="4" s="1"/>
  <c r="D22" i="4"/>
  <c r="D46" i="4" s="1"/>
  <c r="C22" i="4"/>
  <c r="C46" i="4" s="1"/>
  <c r="J21" i="4"/>
  <c r="I21" i="4"/>
  <c r="I33" i="4" s="1"/>
  <c r="I39" i="4" s="1"/>
  <c r="H21" i="4"/>
  <c r="H33" i="4" s="1"/>
  <c r="H39" i="4" s="1"/>
  <c r="G21" i="4"/>
  <c r="G33" i="4" s="1"/>
  <c r="G39" i="4" s="1"/>
  <c r="F21" i="4"/>
  <c r="F33" i="4" s="1"/>
  <c r="F39" i="4" s="1"/>
  <c r="E21" i="4"/>
  <c r="D21" i="4"/>
  <c r="C21" i="4"/>
  <c r="B135" i="3"/>
  <c r="B131" i="3"/>
  <c r="B133" i="3" s="1"/>
  <c r="B134" i="3" s="1"/>
  <c r="K121" i="3"/>
  <c r="K120" i="3"/>
  <c r="K111" i="3"/>
  <c r="J106" i="3"/>
  <c r="I106" i="3"/>
  <c r="H106" i="3"/>
  <c r="G106" i="3"/>
  <c r="D106" i="3"/>
  <c r="J73" i="3"/>
  <c r="I73" i="3"/>
  <c r="H73" i="3"/>
  <c r="G73" i="3"/>
  <c r="F73" i="3"/>
  <c r="E73" i="3"/>
  <c r="D73" i="3"/>
  <c r="C73" i="3"/>
  <c r="J72" i="3"/>
  <c r="I72" i="3"/>
  <c r="H72" i="3"/>
  <c r="G72" i="3"/>
  <c r="F72" i="3"/>
  <c r="E72" i="3"/>
  <c r="D72" i="3"/>
  <c r="C72" i="3"/>
  <c r="J71" i="3"/>
  <c r="I71" i="3"/>
  <c r="H71" i="3"/>
  <c r="G71" i="3"/>
  <c r="F71" i="3"/>
  <c r="E71" i="3"/>
  <c r="D71" i="3"/>
  <c r="C71" i="3"/>
  <c r="J70" i="3"/>
  <c r="I70" i="3"/>
  <c r="H70" i="3"/>
  <c r="G70" i="3"/>
  <c r="F70" i="3"/>
  <c r="E70" i="3"/>
  <c r="D70" i="3"/>
  <c r="C70" i="3"/>
  <c r="J69" i="3"/>
  <c r="I69" i="3"/>
  <c r="H69" i="3"/>
  <c r="G69" i="3"/>
  <c r="F69" i="3"/>
  <c r="E69" i="3"/>
  <c r="D69" i="3"/>
  <c r="C69" i="3"/>
  <c r="E63" i="3"/>
  <c r="E75" i="3" s="1"/>
  <c r="E81" i="3" s="1"/>
  <c r="D63" i="3"/>
  <c r="D75" i="3" s="1"/>
  <c r="D81" i="3" s="1"/>
  <c r="C63" i="3"/>
  <c r="C87" i="3" s="1"/>
  <c r="J49" i="3"/>
  <c r="H47" i="3"/>
  <c r="G47" i="3"/>
  <c r="F47" i="3"/>
  <c r="E47" i="3"/>
  <c r="D47" i="3"/>
  <c r="G46" i="3"/>
  <c r="F46" i="3"/>
  <c r="G37" i="3"/>
  <c r="G43" i="3" s="1"/>
  <c r="C37" i="3"/>
  <c r="C43" i="3" s="1"/>
  <c r="C55" i="3" s="1"/>
  <c r="J36" i="3"/>
  <c r="J42" i="3" s="1"/>
  <c r="J54" i="3" s="1"/>
  <c r="G35" i="3"/>
  <c r="G41" i="3" s="1"/>
  <c r="J31" i="3"/>
  <c r="I31" i="3"/>
  <c r="H31" i="3"/>
  <c r="G31" i="3"/>
  <c r="F31" i="3"/>
  <c r="F37" i="3" s="1"/>
  <c r="F43" i="3" s="1"/>
  <c r="E31" i="3"/>
  <c r="E37" i="3" s="1"/>
  <c r="E43" i="3" s="1"/>
  <c r="D31" i="3"/>
  <c r="D37" i="3" s="1"/>
  <c r="D43" i="3" s="1"/>
  <c r="C31" i="3"/>
  <c r="J30" i="3"/>
  <c r="I30" i="3"/>
  <c r="H30" i="3"/>
  <c r="G30" i="3"/>
  <c r="F30" i="3"/>
  <c r="E30" i="3"/>
  <c r="D30" i="3"/>
  <c r="C30" i="3"/>
  <c r="J29" i="3"/>
  <c r="I29" i="3"/>
  <c r="H29" i="3"/>
  <c r="G29" i="3"/>
  <c r="F29" i="3"/>
  <c r="F35" i="3" s="1"/>
  <c r="F41" i="3" s="1"/>
  <c r="E29" i="3"/>
  <c r="D29" i="3"/>
  <c r="C29" i="3"/>
  <c r="J28" i="3"/>
  <c r="I28" i="3"/>
  <c r="H28" i="3"/>
  <c r="H34" i="3" s="1"/>
  <c r="H40" i="3" s="1"/>
  <c r="H52" i="3" s="1"/>
  <c r="G28" i="3"/>
  <c r="G34" i="3" s="1"/>
  <c r="G40" i="3" s="1"/>
  <c r="G52" i="3" s="1"/>
  <c r="F28" i="3"/>
  <c r="F34" i="3" s="1"/>
  <c r="F40" i="3" s="1"/>
  <c r="F52" i="3" s="1"/>
  <c r="E28" i="3"/>
  <c r="D28" i="3"/>
  <c r="C28" i="3"/>
  <c r="J27" i="3"/>
  <c r="I27" i="3"/>
  <c r="H27" i="3"/>
  <c r="G27" i="3"/>
  <c r="F27" i="3"/>
  <c r="E27" i="3"/>
  <c r="D27" i="3"/>
  <c r="C27" i="3"/>
  <c r="J25" i="3"/>
  <c r="J63" i="3" s="1"/>
  <c r="I25" i="3"/>
  <c r="H25" i="3"/>
  <c r="G25" i="3"/>
  <c r="F25" i="3"/>
  <c r="E25" i="3"/>
  <c r="E49" i="3" s="1"/>
  <c r="D25" i="3"/>
  <c r="D49" i="3" s="1"/>
  <c r="C25" i="3"/>
  <c r="C49" i="3" s="1"/>
  <c r="J24" i="3"/>
  <c r="J48" i="3" s="1"/>
  <c r="I24" i="3"/>
  <c r="H24" i="3"/>
  <c r="H48" i="3" s="1"/>
  <c r="G24" i="3"/>
  <c r="F24" i="3"/>
  <c r="E24" i="3"/>
  <c r="D24" i="3"/>
  <c r="C24" i="3"/>
  <c r="J23" i="3"/>
  <c r="J35" i="3" s="1"/>
  <c r="J41" i="3" s="1"/>
  <c r="I23" i="3"/>
  <c r="I35" i="3" s="1"/>
  <c r="I41" i="3" s="1"/>
  <c r="H23" i="3"/>
  <c r="H35" i="3" s="1"/>
  <c r="H41" i="3" s="1"/>
  <c r="H53" i="3" s="1"/>
  <c r="G23" i="3"/>
  <c r="F23" i="3"/>
  <c r="E23" i="3"/>
  <c r="D23" i="3"/>
  <c r="C23" i="3"/>
  <c r="C47" i="3" s="1"/>
  <c r="J22" i="3"/>
  <c r="J46" i="3" s="1"/>
  <c r="I22" i="3"/>
  <c r="I46" i="3" s="1"/>
  <c r="H22" i="3"/>
  <c r="H46" i="3" s="1"/>
  <c r="G22" i="3"/>
  <c r="F22" i="3"/>
  <c r="E22" i="3"/>
  <c r="D22" i="3"/>
  <c r="C22" i="3"/>
  <c r="J21" i="3"/>
  <c r="I21" i="3"/>
  <c r="H21" i="3"/>
  <c r="G21" i="3"/>
  <c r="G45" i="3" s="1"/>
  <c r="F21" i="3"/>
  <c r="F45" i="3" s="1"/>
  <c r="E21" i="3"/>
  <c r="E45" i="3" s="1"/>
  <c r="D21" i="3"/>
  <c r="D45" i="3" s="1"/>
  <c r="C21" i="3"/>
  <c r="C45" i="3" s="1"/>
  <c r="B135" i="2"/>
  <c r="B131" i="2"/>
  <c r="B133" i="2" s="1"/>
  <c r="B134" i="2" s="1"/>
  <c r="B142" i="2" s="1"/>
  <c r="K121" i="2"/>
  <c r="K120" i="2"/>
  <c r="K114" i="2"/>
  <c r="K111" i="2"/>
  <c r="J106" i="2"/>
  <c r="I106" i="2"/>
  <c r="H106" i="2"/>
  <c r="G106" i="2"/>
  <c r="D106" i="2"/>
  <c r="J73" i="2"/>
  <c r="I73" i="2"/>
  <c r="H73" i="2"/>
  <c r="G73" i="2"/>
  <c r="F73" i="2"/>
  <c r="E73" i="2"/>
  <c r="D73" i="2"/>
  <c r="C73" i="2"/>
  <c r="J72" i="2"/>
  <c r="I72" i="2"/>
  <c r="H72" i="2"/>
  <c r="G72" i="2"/>
  <c r="F72" i="2"/>
  <c r="E72" i="2"/>
  <c r="D72" i="2"/>
  <c r="C72" i="2"/>
  <c r="J71" i="2"/>
  <c r="I71" i="2"/>
  <c r="H71" i="2"/>
  <c r="G71" i="2"/>
  <c r="F71" i="2"/>
  <c r="E71" i="2"/>
  <c r="D71" i="2"/>
  <c r="C71" i="2"/>
  <c r="J70" i="2"/>
  <c r="I70" i="2"/>
  <c r="H70" i="2"/>
  <c r="G70" i="2"/>
  <c r="F70" i="2"/>
  <c r="E70" i="2"/>
  <c r="D70" i="2"/>
  <c r="C70" i="2"/>
  <c r="J69" i="2"/>
  <c r="I69" i="2"/>
  <c r="H69" i="2"/>
  <c r="G69" i="2"/>
  <c r="F69" i="2"/>
  <c r="E69" i="2"/>
  <c r="D69" i="2"/>
  <c r="C69" i="2"/>
  <c r="J63" i="2"/>
  <c r="J87" i="2" s="1"/>
  <c r="I63" i="2"/>
  <c r="I64" i="2" s="1"/>
  <c r="H63" i="2"/>
  <c r="H87" i="2" s="1"/>
  <c r="J49" i="2"/>
  <c r="H48" i="2"/>
  <c r="G48" i="2"/>
  <c r="E48" i="2"/>
  <c r="D48" i="2"/>
  <c r="E45" i="2"/>
  <c r="D45" i="2"/>
  <c r="C45" i="2"/>
  <c r="I43" i="2"/>
  <c r="I55" i="2" s="1"/>
  <c r="E39" i="2"/>
  <c r="E51" i="2" s="1"/>
  <c r="E37" i="2"/>
  <c r="E43" i="2" s="1"/>
  <c r="I36" i="2"/>
  <c r="I42" i="2" s="1"/>
  <c r="I54" i="2" s="1"/>
  <c r="J35" i="2"/>
  <c r="J41" i="2" s="1"/>
  <c r="H35" i="2"/>
  <c r="H41" i="2" s="1"/>
  <c r="C33" i="2"/>
  <c r="C39" i="2" s="1"/>
  <c r="J31" i="2"/>
  <c r="J37" i="2" s="1"/>
  <c r="J43" i="2" s="1"/>
  <c r="I31" i="2"/>
  <c r="I37" i="2" s="1"/>
  <c r="H31" i="2"/>
  <c r="H37" i="2" s="1"/>
  <c r="H43" i="2" s="1"/>
  <c r="H55" i="2" s="1"/>
  <c r="G31" i="2"/>
  <c r="F31" i="2"/>
  <c r="E31" i="2"/>
  <c r="D31" i="2"/>
  <c r="C31" i="2"/>
  <c r="J30" i="2"/>
  <c r="I30" i="2"/>
  <c r="H30" i="2"/>
  <c r="H36" i="2" s="1"/>
  <c r="H42" i="2" s="1"/>
  <c r="H54" i="2" s="1"/>
  <c r="G30" i="2"/>
  <c r="F30" i="2"/>
  <c r="E30" i="2"/>
  <c r="D30" i="2"/>
  <c r="C30" i="2"/>
  <c r="C36" i="2" s="1"/>
  <c r="C42" i="2" s="1"/>
  <c r="J29" i="2"/>
  <c r="I29" i="2"/>
  <c r="H29" i="2"/>
  <c r="G29" i="2"/>
  <c r="F29" i="2"/>
  <c r="E29" i="2"/>
  <c r="D29" i="2"/>
  <c r="D35" i="2" s="1"/>
  <c r="D41" i="2" s="1"/>
  <c r="C29" i="2"/>
  <c r="C35" i="2" s="1"/>
  <c r="C41" i="2" s="1"/>
  <c r="J28" i="2"/>
  <c r="J34" i="2" s="1"/>
  <c r="J40" i="2" s="1"/>
  <c r="J52" i="2" s="1"/>
  <c r="I28" i="2"/>
  <c r="H28" i="2"/>
  <c r="G28" i="2"/>
  <c r="F28" i="2"/>
  <c r="E28" i="2"/>
  <c r="D28" i="2"/>
  <c r="C28" i="2"/>
  <c r="J27" i="2"/>
  <c r="I27" i="2"/>
  <c r="H27" i="2"/>
  <c r="G27" i="2"/>
  <c r="F27" i="2"/>
  <c r="E27" i="2"/>
  <c r="E33" i="2" s="1"/>
  <c r="D27" i="2"/>
  <c r="C27" i="2"/>
  <c r="J25" i="2"/>
  <c r="I25" i="2"/>
  <c r="I49" i="2" s="1"/>
  <c r="H25" i="2"/>
  <c r="H49" i="2" s="1"/>
  <c r="G25" i="2"/>
  <c r="G49" i="2" s="1"/>
  <c r="F25" i="2"/>
  <c r="F49" i="2" s="1"/>
  <c r="E25" i="2"/>
  <c r="E49" i="2" s="1"/>
  <c r="D25" i="2"/>
  <c r="D49" i="2" s="1"/>
  <c r="C25" i="2"/>
  <c r="J24" i="2"/>
  <c r="I24" i="2"/>
  <c r="I48" i="2" s="1"/>
  <c r="H24" i="2"/>
  <c r="G24" i="2"/>
  <c r="G36" i="2" s="1"/>
  <c r="G42" i="2" s="1"/>
  <c r="G54" i="2" s="1"/>
  <c r="F24" i="2"/>
  <c r="F36" i="2" s="1"/>
  <c r="F42" i="2" s="1"/>
  <c r="E24" i="2"/>
  <c r="E36" i="2" s="1"/>
  <c r="E42" i="2" s="1"/>
  <c r="D24" i="2"/>
  <c r="D36" i="2" s="1"/>
  <c r="D42" i="2" s="1"/>
  <c r="C24" i="2"/>
  <c r="C48" i="2" s="1"/>
  <c r="J23" i="2"/>
  <c r="J47" i="2" s="1"/>
  <c r="I23" i="2"/>
  <c r="I47" i="2" s="1"/>
  <c r="H23" i="2"/>
  <c r="H47" i="2" s="1"/>
  <c r="G23" i="2"/>
  <c r="G47" i="2" s="1"/>
  <c r="F23" i="2"/>
  <c r="E23" i="2"/>
  <c r="E47" i="2" s="1"/>
  <c r="D23" i="2"/>
  <c r="D47" i="2" s="1"/>
  <c r="C23" i="2"/>
  <c r="C47" i="2" s="1"/>
  <c r="J22" i="2"/>
  <c r="J46" i="2" s="1"/>
  <c r="I22" i="2"/>
  <c r="I46" i="2" s="1"/>
  <c r="H22" i="2"/>
  <c r="H46" i="2" s="1"/>
  <c r="G22" i="2"/>
  <c r="G46" i="2" s="1"/>
  <c r="F22" i="2"/>
  <c r="F46" i="2" s="1"/>
  <c r="E22" i="2"/>
  <c r="D22" i="2"/>
  <c r="C22" i="2"/>
  <c r="C46" i="2" s="1"/>
  <c r="J21" i="2"/>
  <c r="J33" i="2" s="1"/>
  <c r="J39" i="2" s="1"/>
  <c r="I21" i="2"/>
  <c r="I45" i="2" s="1"/>
  <c r="H21" i="2"/>
  <c r="H33" i="2" s="1"/>
  <c r="H39" i="2" s="1"/>
  <c r="G21" i="2"/>
  <c r="G33" i="2" s="1"/>
  <c r="G39" i="2" s="1"/>
  <c r="F21" i="2"/>
  <c r="F33" i="2" s="1"/>
  <c r="F39" i="2" s="1"/>
  <c r="E21" i="2"/>
  <c r="D21" i="2"/>
  <c r="C21" i="2"/>
  <c r="B37" i="1"/>
  <c r="B38" i="1" s="1"/>
  <c r="B30" i="1"/>
  <c r="B29" i="1"/>
  <c r="B28" i="1"/>
  <c r="G16" i="2" s="1"/>
  <c r="B23" i="1"/>
  <c r="B26" i="1" s="1"/>
  <c r="B31" i="1" s="1"/>
  <c r="B14" i="1"/>
  <c r="F54" i="2" l="1"/>
  <c r="J51" i="2"/>
  <c r="I33" i="3"/>
  <c r="I39" i="3" s="1"/>
  <c r="H33" i="3"/>
  <c r="H39" i="3" s="1"/>
  <c r="F48" i="2"/>
  <c r="D64" i="3"/>
  <c r="D88" i="3" s="1"/>
  <c r="D54" i="2"/>
  <c r="E54" i="2"/>
  <c r="C64" i="3"/>
  <c r="I55" i="4"/>
  <c r="D47" i="7"/>
  <c r="D87" i="3"/>
  <c r="D93" i="3" s="1"/>
  <c r="E87" i="3"/>
  <c r="E93" i="3" s="1"/>
  <c r="D37" i="7"/>
  <c r="D48" i="7" s="1"/>
  <c r="G45" i="2"/>
  <c r="G51" i="2" s="1"/>
  <c r="G57" i="2" s="1"/>
  <c r="H45" i="2"/>
  <c r="H51" i="2" s="1"/>
  <c r="E36" i="7"/>
  <c r="E47" i="7" s="1"/>
  <c r="I33" i="2"/>
  <c r="I39" i="2" s="1"/>
  <c r="I51" i="2" s="1"/>
  <c r="J45" i="2"/>
  <c r="D33" i="3"/>
  <c r="D39" i="3" s="1"/>
  <c r="D51" i="3" s="1"/>
  <c r="E35" i="4"/>
  <c r="E41" i="4" s="1"/>
  <c r="E53" i="4" s="1"/>
  <c r="C35" i="7"/>
  <c r="C46" i="7" s="1"/>
  <c r="D55" i="3"/>
  <c r="J55" i="2"/>
  <c r="F45" i="2"/>
  <c r="F51" i="2" s="1"/>
  <c r="I87" i="2"/>
  <c r="H37" i="3"/>
  <c r="H43" i="3" s="1"/>
  <c r="B37" i="7"/>
  <c r="B48" i="7" s="1"/>
  <c r="F54" i="4"/>
  <c r="D34" i="2"/>
  <c r="D40" i="2" s="1"/>
  <c r="J33" i="3"/>
  <c r="J39" i="3" s="1"/>
  <c r="J51" i="3" s="1"/>
  <c r="J57" i="3" s="1"/>
  <c r="C53" i="2"/>
  <c r="D34" i="3"/>
  <c r="D40" i="3" s="1"/>
  <c r="D52" i="3" s="1"/>
  <c r="D58" i="3" s="1"/>
  <c r="D27" i="7"/>
  <c r="F53" i="3"/>
  <c r="E33" i="3"/>
  <c r="E39" i="3" s="1"/>
  <c r="E51" i="3" s="1"/>
  <c r="I47" i="3"/>
  <c r="I53" i="3" s="1"/>
  <c r="C22" i="7"/>
  <c r="F35" i="2"/>
  <c r="F41" i="2" s="1"/>
  <c r="G35" i="2"/>
  <c r="G41" i="2" s="1"/>
  <c r="G53" i="2" s="1"/>
  <c r="F33" i="3"/>
  <c r="F39" i="3" s="1"/>
  <c r="F51" i="3" s="1"/>
  <c r="D22" i="7"/>
  <c r="F45" i="4"/>
  <c r="C54" i="2"/>
  <c r="H53" i="2"/>
  <c r="D35" i="3"/>
  <c r="D41" i="3" s="1"/>
  <c r="D53" i="3" s="1"/>
  <c r="G33" i="3"/>
  <c r="G39" i="3" s="1"/>
  <c r="G51" i="3" s="1"/>
  <c r="F48" i="4"/>
  <c r="E22" i="7"/>
  <c r="E33" i="7" s="1"/>
  <c r="E44" i="7" s="1"/>
  <c r="J36" i="2"/>
  <c r="J42" i="2" s="1"/>
  <c r="J64" i="4"/>
  <c r="G55" i="4"/>
  <c r="C34" i="3"/>
  <c r="C40" i="3" s="1"/>
  <c r="H45" i="4"/>
  <c r="H51" i="4" s="1"/>
  <c r="I35" i="2"/>
  <c r="I41" i="2" s="1"/>
  <c r="I53" i="2" s="1"/>
  <c r="E35" i="3"/>
  <c r="E41" i="3" s="1"/>
  <c r="E53" i="3" s="1"/>
  <c r="C33" i="3"/>
  <c r="C39" i="3" s="1"/>
  <c r="C51" i="3" s="1"/>
  <c r="I34" i="3"/>
  <c r="I40" i="3" s="1"/>
  <c r="I52" i="3" s="1"/>
  <c r="J37" i="4"/>
  <c r="J43" i="4" s="1"/>
  <c r="J55" i="4" s="1"/>
  <c r="H75" i="2"/>
  <c r="H81" i="2" s="1"/>
  <c r="H93" i="2" s="1"/>
  <c r="J87" i="4"/>
  <c r="H64" i="2"/>
  <c r="H76" i="2" s="1"/>
  <c r="H82" i="2" s="1"/>
  <c r="H55" i="4"/>
  <c r="D46" i="7"/>
  <c r="E64" i="3"/>
  <c r="E65" i="3" s="1"/>
  <c r="E89" i="3" s="1"/>
  <c r="G87" i="4"/>
  <c r="I75" i="2"/>
  <c r="I81" i="2" s="1"/>
  <c r="I93" i="2" s="1"/>
  <c r="E55" i="3"/>
  <c r="I45" i="4"/>
  <c r="I51" i="4" s="1"/>
  <c r="D53" i="2"/>
  <c r="J64" i="2"/>
  <c r="J76" i="2" s="1"/>
  <c r="J82" i="2" s="1"/>
  <c r="E34" i="3"/>
  <c r="E40" i="3" s="1"/>
  <c r="C51" i="2"/>
  <c r="F34" i="4"/>
  <c r="F40" i="4" s="1"/>
  <c r="F52" i="4" s="1"/>
  <c r="J53" i="2"/>
  <c r="G53" i="3"/>
  <c r="I35" i="4"/>
  <c r="I41" i="4" s="1"/>
  <c r="I53" i="4" s="1"/>
  <c r="C23" i="7"/>
  <c r="C34" i="7" s="1"/>
  <c r="C45" i="7" s="1"/>
  <c r="D33" i="4"/>
  <c r="D39" i="4" s="1"/>
  <c r="D51" i="4" s="1"/>
  <c r="D23" i="7"/>
  <c r="D34" i="7" s="1"/>
  <c r="D45" i="7" s="1"/>
  <c r="J93" i="4"/>
  <c r="C37" i="4"/>
  <c r="C43" i="4" s="1"/>
  <c r="G45" i="4"/>
  <c r="G51" i="4" s="1"/>
  <c r="G57" i="4" s="1"/>
  <c r="I36" i="3"/>
  <c r="I42" i="3" s="1"/>
  <c r="E37" i="7"/>
  <c r="E48" i="7" s="1"/>
  <c r="D33" i="7"/>
  <c r="D44" i="7" s="1"/>
  <c r="C33" i="4"/>
  <c r="C39" i="4" s="1"/>
  <c r="C51" i="4" s="1"/>
  <c r="C27" i="7"/>
  <c r="C28" i="7" s="1"/>
  <c r="E33" i="4"/>
  <c r="E39" i="4" s="1"/>
  <c r="E23" i="7"/>
  <c r="E34" i="7" s="1"/>
  <c r="E45" i="7" s="1"/>
  <c r="C37" i="2"/>
  <c r="C43" i="2" s="1"/>
  <c r="C63" i="2"/>
  <c r="C49" i="2"/>
  <c r="I88" i="2"/>
  <c r="I65" i="2"/>
  <c r="I76" i="2"/>
  <c r="I82" i="2" s="1"/>
  <c r="I51" i="3"/>
  <c r="E34" i="2"/>
  <c r="E40" i="2" s="1"/>
  <c r="E46" i="2"/>
  <c r="H94" i="2"/>
  <c r="G65" i="4"/>
  <c r="G88" i="4"/>
  <c r="G76" i="4"/>
  <c r="G82" i="4" s="1"/>
  <c r="G94" i="4" s="1"/>
  <c r="J104" i="4"/>
  <c r="I104" i="4"/>
  <c r="H104" i="4"/>
  <c r="G104" i="4"/>
  <c r="G58" i="4" s="1"/>
  <c r="F104" i="4"/>
  <c r="C104" i="3"/>
  <c r="H104" i="2"/>
  <c r="G104" i="2"/>
  <c r="G60" i="2" s="1"/>
  <c r="F104" i="2"/>
  <c r="D104" i="4"/>
  <c r="I104" i="2"/>
  <c r="C104" i="4"/>
  <c r="E104" i="2"/>
  <c r="D104" i="2"/>
  <c r="D107" i="2" s="1"/>
  <c r="C104" i="2"/>
  <c r="J104" i="3"/>
  <c r="I104" i="3"/>
  <c r="H104" i="3"/>
  <c r="H58" i="3" s="1"/>
  <c r="G104" i="3"/>
  <c r="E104" i="3"/>
  <c r="D104" i="3"/>
  <c r="F104" i="3"/>
  <c r="E104" i="4"/>
  <c r="J104" i="2"/>
  <c r="E55" i="2"/>
  <c r="C38" i="7"/>
  <c r="C49" i="7" s="1"/>
  <c r="J75" i="3"/>
  <c r="J81" i="3" s="1"/>
  <c r="J64" i="3"/>
  <c r="J87" i="3"/>
  <c r="F59" i="4"/>
  <c r="G59" i="4"/>
  <c r="B142" i="3"/>
  <c r="K114" i="3"/>
  <c r="H65" i="2"/>
  <c r="D63" i="2"/>
  <c r="D76" i="3"/>
  <c r="D82" i="3" s="1"/>
  <c r="D94" i="3" s="1"/>
  <c r="C36" i="4"/>
  <c r="C42" i="4" s="1"/>
  <c r="C48" i="4"/>
  <c r="G75" i="4"/>
  <c r="G81" i="4" s="1"/>
  <c r="G93" i="4" s="1"/>
  <c r="C37" i="7"/>
  <c r="C48" i="7" s="1"/>
  <c r="E63" i="2"/>
  <c r="C36" i="3"/>
  <c r="C42" i="3" s="1"/>
  <c r="C48" i="3"/>
  <c r="F51" i="4"/>
  <c r="F57" i="4" s="1"/>
  <c r="D36" i="4"/>
  <c r="D42" i="4" s="1"/>
  <c r="D48" i="4"/>
  <c r="G48" i="4"/>
  <c r="G54" i="4" s="1"/>
  <c r="K114" i="4"/>
  <c r="D16" i="3"/>
  <c r="D107" i="3" s="1"/>
  <c r="F47" i="2"/>
  <c r="F53" i="2" s="1"/>
  <c r="D36" i="3"/>
  <c r="D42" i="3" s="1"/>
  <c r="D48" i="3"/>
  <c r="E76" i="3"/>
  <c r="E82" i="3" s="1"/>
  <c r="E36" i="4"/>
  <c r="E42" i="4" s="1"/>
  <c r="E48" i="4"/>
  <c r="F63" i="2"/>
  <c r="J34" i="3"/>
  <c r="J40" i="3" s="1"/>
  <c r="J52" i="3" s="1"/>
  <c r="E35" i="2"/>
  <c r="E41" i="2" s="1"/>
  <c r="E53" i="2" s="1"/>
  <c r="G63" i="2"/>
  <c r="E48" i="3"/>
  <c r="E36" i="3"/>
  <c r="E42" i="3" s="1"/>
  <c r="C35" i="3"/>
  <c r="C41" i="3" s="1"/>
  <c r="C53" i="3" s="1"/>
  <c r="H36" i="4"/>
  <c r="H42" i="4" s="1"/>
  <c r="H54" i="4" s="1"/>
  <c r="H75" i="4"/>
  <c r="H81" i="4" s="1"/>
  <c r="H87" i="4"/>
  <c r="H64" i="4"/>
  <c r="F36" i="3"/>
  <c r="F42" i="3" s="1"/>
  <c r="F48" i="3"/>
  <c r="H45" i="3"/>
  <c r="H51" i="3" s="1"/>
  <c r="H49" i="3"/>
  <c r="H55" i="3" s="1"/>
  <c r="H61" i="3" s="1"/>
  <c r="D65" i="3"/>
  <c r="I36" i="4"/>
  <c r="I42" i="4" s="1"/>
  <c r="I54" i="4" s="1"/>
  <c r="I75" i="4"/>
  <c r="I81" i="4" s="1"/>
  <c r="I93" i="4" s="1"/>
  <c r="I64" i="4"/>
  <c r="C16" i="2"/>
  <c r="D37" i="2"/>
  <c r="D43" i="2" s="1"/>
  <c r="D55" i="2" s="1"/>
  <c r="J48" i="2"/>
  <c r="J54" i="2" s="1"/>
  <c r="C16" i="3"/>
  <c r="G36" i="3"/>
  <c r="G42" i="3" s="1"/>
  <c r="G48" i="3"/>
  <c r="I45" i="3"/>
  <c r="E66" i="3"/>
  <c r="J45" i="4"/>
  <c r="J33" i="4"/>
  <c r="J39" i="4" s="1"/>
  <c r="J51" i="4" s="1"/>
  <c r="J57" i="4" s="1"/>
  <c r="J36" i="4"/>
  <c r="J42" i="4" s="1"/>
  <c r="J54" i="4" s="1"/>
  <c r="E27" i="7"/>
  <c r="J45" i="3"/>
  <c r="C46" i="3"/>
  <c r="C52" i="3" s="1"/>
  <c r="C58" i="3" s="1"/>
  <c r="D107" i="4"/>
  <c r="D46" i="3"/>
  <c r="C63" i="4"/>
  <c r="C49" i="4"/>
  <c r="C55" i="4" s="1"/>
  <c r="C61" i="4" s="1"/>
  <c r="G16" i="4"/>
  <c r="F16" i="4"/>
  <c r="F58" i="4" s="1"/>
  <c r="E16" i="4"/>
  <c r="E59" i="4" s="1"/>
  <c r="D16" i="4"/>
  <c r="C16" i="4"/>
  <c r="H16" i="3"/>
  <c r="H16" i="4"/>
  <c r="H58" i="4" s="1"/>
  <c r="F16" i="2"/>
  <c r="E16" i="2"/>
  <c r="E57" i="2" s="1"/>
  <c r="D16" i="2"/>
  <c r="H36" i="3"/>
  <c r="H42" i="3" s="1"/>
  <c r="H54" i="3" s="1"/>
  <c r="E46" i="3"/>
  <c r="E52" i="3" s="1"/>
  <c r="D63" i="4"/>
  <c r="D49" i="4"/>
  <c r="D55" i="4" s="1"/>
  <c r="D61" i="4" s="1"/>
  <c r="E45" i="4"/>
  <c r="E51" i="4" s="1"/>
  <c r="J75" i="2"/>
  <c r="J81" i="2" s="1"/>
  <c r="J93" i="2" s="1"/>
  <c r="G107" i="2"/>
  <c r="C34" i="4"/>
  <c r="C40" i="4" s="1"/>
  <c r="C52" i="4" s="1"/>
  <c r="C58" i="4" s="1"/>
  <c r="D34" i="4"/>
  <c r="D40" i="4" s="1"/>
  <c r="D52" i="4" s="1"/>
  <c r="E34" i="4"/>
  <c r="E40" i="4" s="1"/>
  <c r="E52" i="4" s="1"/>
  <c r="H88" i="2"/>
  <c r="C75" i="3"/>
  <c r="C81" i="3" s="1"/>
  <c r="C93" i="3" s="1"/>
  <c r="C53" i="4"/>
  <c r="J37" i="3"/>
  <c r="J43" i="3" s="1"/>
  <c r="J55" i="3" s="1"/>
  <c r="G34" i="2"/>
  <c r="G40" i="2" s="1"/>
  <c r="G52" i="2" s="1"/>
  <c r="G58" i="2" s="1"/>
  <c r="I16" i="3"/>
  <c r="I107" i="3" s="1"/>
  <c r="J47" i="3"/>
  <c r="J53" i="3" s="1"/>
  <c r="J16" i="4"/>
  <c r="H35" i="4"/>
  <c r="H41" i="4" s="1"/>
  <c r="H47" i="4"/>
  <c r="E35" i="7"/>
  <c r="E46" i="7" s="1"/>
  <c r="J16" i="2"/>
  <c r="F34" i="2"/>
  <c r="F40" i="2" s="1"/>
  <c r="F52" i="2" s="1"/>
  <c r="D46" i="2"/>
  <c r="D52" i="2" s="1"/>
  <c r="D58" i="2" s="1"/>
  <c r="J65" i="2"/>
  <c r="J88" i="2"/>
  <c r="J94" i="2" s="1"/>
  <c r="J100" i="2" s="1"/>
  <c r="D33" i="2"/>
  <c r="D39" i="2" s="1"/>
  <c r="D51" i="2" s="1"/>
  <c r="H34" i="2"/>
  <c r="H40" i="2" s="1"/>
  <c r="H52" i="2" s="1"/>
  <c r="J16" i="3"/>
  <c r="J60" i="3" s="1"/>
  <c r="H63" i="3"/>
  <c r="D53" i="4"/>
  <c r="C36" i="7"/>
  <c r="C47" i="7" s="1"/>
  <c r="I63" i="3"/>
  <c r="I49" i="3"/>
  <c r="H16" i="2"/>
  <c r="H59" i="2" s="1"/>
  <c r="C34" i="2"/>
  <c r="C40" i="2" s="1"/>
  <c r="C52" i="2" s="1"/>
  <c r="F37" i="2"/>
  <c r="F43" i="2" s="1"/>
  <c r="F55" i="2" s="1"/>
  <c r="E16" i="3"/>
  <c r="I16" i="2"/>
  <c r="G37" i="2"/>
  <c r="G43" i="2" s="1"/>
  <c r="G55" i="2" s="1"/>
  <c r="G61" i="2" s="1"/>
  <c r="F16" i="3"/>
  <c r="I37" i="3"/>
  <c r="I43" i="3" s="1"/>
  <c r="G16" i="3"/>
  <c r="I16" i="4"/>
  <c r="I58" i="4" s="1"/>
  <c r="I34" i="2"/>
  <c r="I40" i="2" s="1"/>
  <c r="I52" i="2" s="1"/>
  <c r="I48" i="3"/>
  <c r="I54" i="3" s="1"/>
  <c r="C76" i="3"/>
  <c r="C82" i="3" s="1"/>
  <c r="J35" i="4"/>
  <c r="J41" i="4" s="1"/>
  <c r="J47" i="4"/>
  <c r="E63" i="4"/>
  <c r="E49" i="4"/>
  <c r="F65" i="4"/>
  <c r="F76" i="4"/>
  <c r="F82" i="4" s="1"/>
  <c r="F94" i="4" s="1"/>
  <c r="J65" i="4"/>
  <c r="J88" i="4"/>
  <c r="J76" i="4"/>
  <c r="J82" i="4" s="1"/>
  <c r="J94" i="4" s="1"/>
  <c r="J100" i="4" s="1"/>
  <c r="E37" i="4"/>
  <c r="E43" i="4" s="1"/>
  <c r="E55" i="4" s="1"/>
  <c r="E61" i="4" s="1"/>
  <c r="C33" i="7"/>
  <c r="C44" i="7" s="1"/>
  <c r="F63" i="3"/>
  <c r="F49" i="3"/>
  <c r="F55" i="3" s="1"/>
  <c r="F61" i="3" s="1"/>
  <c r="G63" i="3"/>
  <c r="G49" i="3"/>
  <c r="G55" i="3" s="1"/>
  <c r="I107" i="4"/>
  <c r="F49" i="4"/>
  <c r="F55" i="4" s="1"/>
  <c r="F61" i="4" s="1"/>
  <c r="B28" i="7"/>
  <c r="H57" i="3" l="1"/>
  <c r="D61" i="3"/>
  <c r="D38" i="7"/>
  <c r="D49" i="7" s="1"/>
  <c r="D28" i="7"/>
  <c r="E57" i="4"/>
  <c r="G60" i="4"/>
  <c r="E52" i="2"/>
  <c r="E58" i="2" s="1"/>
  <c r="I60" i="3"/>
  <c r="J60" i="4"/>
  <c r="C65" i="3"/>
  <c r="C88" i="3"/>
  <c r="C94" i="3" s="1"/>
  <c r="C100" i="3" s="1"/>
  <c r="E58" i="3"/>
  <c r="J59" i="2"/>
  <c r="H58" i="2"/>
  <c r="G61" i="3"/>
  <c r="I55" i="3"/>
  <c r="H60" i="3"/>
  <c r="F59" i="3"/>
  <c r="E77" i="3"/>
  <c r="E83" i="3" s="1"/>
  <c r="E95" i="3" s="1"/>
  <c r="E101" i="3" s="1"/>
  <c r="C59" i="3"/>
  <c r="G61" i="4"/>
  <c r="D60" i="2"/>
  <c r="E54" i="3"/>
  <c r="D54" i="3"/>
  <c r="I59" i="2"/>
  <c r="H107" i="4"/>
  <c r="J61" i="4"/>
  <c r="J59" i="3"/>
  <c r="F60" i="2"/>
  <c r="E61" i="2"/>
  <c r="F60" i="4"/>
  <c r="E99" i="3"/>
  <c r="H107" i="3"/>
  <c r="C54" i="4"/>
  <c r="C60" i="4" s="1"/>
  <c r="H60" i="2"/>
  <c r="G107" i="4"/>
  <c r="C57" i="4"/>
  <c r="D57" i="4"/>
  <c r="J60" i="2"/>
  <c r="C60" i="2"/>
  <c r="E54" i="4"/>
  <c r="E60" i="4" s="1"/>
  <c r="F100" i="4"/>
  <c r="E88" i="3"/>
  <c r="I57" i="3"/>
  <c r="J53" i="4"/>
  <c r="J59" i="4" s="1"/>
  <c r="F59" i="2"/>
  <c r="H57" i="4"/>
  <c r="H57" i="2"/>
  <c r="C75" i="4"/>
  <c r="C81" i="4" s="1"/>
  <c r="C87" i="4"/>
  <c r="C64" i="4"/>
  <c r="D100" i="3"/>
  <c r="J107" i="3"/>
  <c r="D57" i="2"/>
  <c r="J99" i="2"/>
  <c r="D61" i="2"/>
  <c r="D64" i="2"/>
  <c r="D87" i="2"/>
  <c r="D75" i="2"/>
  <c r="D81" i="2" s="1"/>
  <c r="I99" i="2"/>
  <c r="G100" i="4"/>
  <c r="J99" i="4"/>
  <c r="H77" i="2"/>
  <c r="H83" i="2" s="1"/>
  <c r="H89" i="2"/>
  <c r="H66" i="2"/>
  <c r="J57" i="2"/>
  <c r="G77" i="4"/>
  <c r="G83" i="4" s="1"/>
  <c r="G89" i="4"/>
  <c r="G66" i="4"/>
  <c r="I58" i="2"/>
  <c r="I99" i="4"/>
  <c r="E94" i="3"/>
  <c r="E100" i="3" s="1"/>
  <c r="I59" i="3"/>
  <c r="H99" i="2"/>
  <c r="D59" i="2"/>
  <c r="J58" i="2"/>
  <c r="I60" i="4"/>
  <c r="G59" i="2"/>
  <c r="J61" i="2"/>
  <c r="I58" i="3"/>
  <c r="I61" i="2"/>
  <c r="F58" i="2"/>
  <c r="G107" i="3"/>
  <c r="D87" i="4"/>
  <c r="D75" i="4"/>
  <c r="D81" i="4" s="1"/>
  <c r="D64" i="4"/>
  <c r="F99" i="4"/>
  <c r="D66" i="3"/>
  <c r="D89" i="3"/>
  <c r="D77" i="3"/>
  <c r="D83" i="3" s="1"/>
  <c r="D95" i="3" s="1"/>
  <c r="D101" i="3" s="1"/>
  <c r="D60" i="3"/>
  <c r="C29" i="7"/>
  <c r="C39" i="7"/>
  <c r="C50" i="7" s="1"/>
  <c r="D59" i="3"/>
  <c r="I65" i="4"/>
  <c r="I88" i="4"/>
  <c r="I76" i="4"/>
  <c r="I82" i="4" s="1"/>
  <c r="C61" i="3"/>
  <c r="G75" i="3"/>
  <c r="G81" i="3" s="1"/>
  <c r="G64" i="3"/>
  <c r="G87" i="3"/>
  <c r="I61" i="3"/>
  <c r="I61" i="4"/>
  <c r="C59" i="2"/>
  <c r="E60" i="2"/>
  <c r="E59" i="3"/>
  <c r="C57" i="3"/>
  <c r="F57" i="2"/>
  <c r="H59" i="3"/>
  <c r="G59" i="3"/>
  <c r="I94" i="2"/>
  <c r="I100" i="2" s="1"/>
  <c r="B29" i="7"/>
  <c r="B39" i="7"/>
  <c r="B50" i="7" s="1"/>
  <c r="J89" i="2"/>
  <c r="J66" i="2"/>
  <c r="J77" i="2"/>
  <c r="J83" i="2" s="1"/>
  <c r="G57" i="3"/>
  <c r="E61" i="3"/>
  <c r="I66" i="2"/>
  <c r="I89" i="2"/>
  <c r="I77" i="2"/>
  <c r="I83" i="2" s="1"/>
  <c r="H53" i="4"/>
  <c r="H59" i="4" s="1"/>
  <c r="J88" i="3"/>
  <c r="J65" i="3"/>
  <c r="J76" i="3"/>
  <c r="J82" i="3" s="1"/>
  <c r="J94" i="3" s="1"/>
  <c r="J100" i="3" s="1"/>
  <c r="H100" i="2"/>
  <c r="F64" i="2"/>
  <c r="F87" i="2"/>
  <c r="F75" i="2"/>
  <c r="F81" i="2" s="1"/>
  <c r="F93" i="2" s="1"/>
  <c r="F99" i="2" s="1"/>
  <c r="F75" i="3"/>
  <c r="F81" i="3" s="1"/>
  <c r="F87" i="3"/>
  <c r="F64" i="3"/>
  <c r="E38" i="7"/>
  <c r="E49" i="7" s="1"/>
  <c r="E28" i="7"/>
  <c r="F54" i="3"/>
  <c r="F60" i="3" s="1"/>
  <c r="H61" i="4"/>
  <c r="H65" i="4"/>
  <c r="H88" i="4"/>
  <c r="H76" i="4"/>
  <c r="H82" i="4" s="1"/>
  <c r="I59" i="4"/>
  <c r="J93" i="3"/>
  <c r="J99" i="3" s="1"/>
  <c r="I60" i="2"/>
  <c r="C57" i="2"/>
  <c r="F57" i="3"/>
  <c r="E57" i="3"/>
  <c r="J61" i="3"/>
  <c r="F61" i="2"/>
  <c r="C58" i="2"/>
  <c r="H60" i="4"/>
  <c r="I57" i="4"/>
  <c r="C54" i="3"/>
  <c r="C60" i="3" s="1"/>
  <c r="D57" i="3"/>
  <c r="I107" i="2"/>
  <c r="F58" i="3"/>
  <c r="D99" i="3"/>
  <c r="J107" i="2"/>
  <c r="J58" i="4"/>
  <c r="E60" i="3"/>
  <c r="E67" i="3"/>
  <c r="E90" i="3"/>
  <c r="E78" i="3"/>
  <c r="E84" i="3" s="1"/>
  <c r="E58" i="4"/>
  <c r="G87" i="2"/>
  <c r="G75" i="2"/>
  <c r="G81" i="2" s="1"/>
  <c r="G93" i="2" s="1"/>
  <c r="G99" i="2" s="1"/>
  <c r="G64" i="2"/>
  <c r="I57" i="2"/>
  <c r="H61" i="2"/>
  <c r="F77" i="4"/>
  <c r="F83" i="4" s="1"/>
  <c r="F89" i="4"/>
  <c r="F66" i="4"/>
  <c r="E59" i="2"/>
  <c r="G99" i="4"/>
  <c r="G58" i="3"/>
  <c r="C64" i="2"/>
  <c r="C87" i="2"/>
  <c r="C75" i="2"/>
  <c r="C81" i="2" s="1"/>
  <c r="H93" i="4"/>
  <c r="H99" i="4" s="1"/>
  <c r="D54" i="4"/>
  <c r="D60" i="4" s="1"/>
  <c r="C59" i="4"/>
  <c r="J89" i="4"/>
  <c r="J77" i="4"/>
  <c r="J83" i="4" s="1"/>
  <c r="J95" i="4" s="1"/>
  <c r="J101" i="4" s="1"/>
  <c r="J66" i="4"/>
  <c r="C99" i="3"/>
  <c r="I75" i="3"/>
  <c r="I81" i="3" s="1"/>
  <c r="I64" i="3"/>
  <c r="I87" i="3"/>
  <c r="E87" i="2"/>
  <c r="E64" i="2"/>
  <c r="E75" i="2"/>
  <c r="E81" i="2" s="1"/>
  <c r="E93" i="2" s="1"/>
  <c r="E99" i="2" s="1"/>
  <c r="H107" i="2"/>
  <c r="D59" i="4"/>
  <c r="D58" i="4"/>
  <c r="E75" i="4"/>
  <c r="E81" i="4" s="1"/>
  <c r="E87" i="4"/>
  <c r="E64" i="4"/>
  <c r="H75" i="3"/>
  <c r="H81" i="3" s="1"/>
  <c r="H64" i="3"/>
  <c r="H87" i="3"/>
  <c r="J107" i="4"/>
  <c r="G54" i="3"/>
  <c r="G60" i="3" s="1"/>
  <c r="J58" i="3"/>
  <c r="C55" i="2"/>
  <c r="C61" i="2" s="1"/>
  <c r="H94" i="4" l="1"/>
  <c r="H100" i="4" s="1"/>
  <c r="E96" i="3"/>
  <c r="E102" i="3" s="1"/>
  <c r="I94" i="4"/>
  <c r="I100" i="4" s="1"/>
  <c r="C77" i="3"/>
  <c r="C83" i="3" s="1"/>
  <c r="C89" i="3"/>
  <c r="C66" i="3"/>
  <c r="J95" i="2"/>
  <c r="J101" i="2" s="1"/>
  <c r="C93" i="2"/>
  <c r="C99" i="2" s="1"/>
  <c r="C93" i="4"/>
  <c r="C99" i="4" s="1"/>
  <c r="D29" i="7"/>
  <c r="D39" i="7"/>
  <c r="D50" i="7" s="1"/>
  <c r="I77" i="4"/>
  <c r="I83" i="4" s="1"/>
  <c r="I89" i="4"/>
  <c r="I66" i="4"/>
  <c r="E76" i="4"/>
  <c r="E82" i="4" s="1"/>
  <c r="E88" i="4"/>
  <c r="E65" i="4"/>
  <c r="J90" i="2"/>
  <c r="J78" i="2"/>
  <c r="J84" i="2" s="1"/>
  <c r="J96" i="2" s="1"/>
  <c r="J102" i="2" s="1"/>
  <c r="J67" i="2"/>
  <c r="E29" i="7"/>
  <c r="E39" i="7"/>
  <c r="E50" i="7" s="1"/>
  <c r="E93" i="4"/>
  <c r="E99" i="4" s="1"/>
  <c r="C40" i="7"/>
  <c r="C51" i="7" s="1"/>
  <c r="C30" i="7"/>
  <c r="H88" i="3"/>
  <c r="H65" i="3"/>
  <c r="H76" i="3"/>
  <c r="H82" i="3" s="1"/>
  <c r="H94" i="3" s="1"/>
  <c r="H100" i="3" s="1"/>
  <c r="F76" i="3"/>
  <c r="F82" i="3" s="1"/>
  <c r="F88" i="3"/>
  <c r="F65" i="3"/>
  <c r="B40" i="7"/>
  <c r="B51" i="7" s="1"/>
  <c r="B30" i="7"/>
  <c r="C76" i="4"/>
  <c r="C82" i="4" s="1"/>
  <c r="C88" i="4"/>
  <c r="C65" i="4"/>
  <c r="H93" i="3"/>
  <c r="H99" i="3" s="1"/>
  <c r="C88" i="2"/>
  <c r="C76" i="2"/>
  <c r="C82" i="2" s="1"/>
  <c r="C94" i="2" s="1"/>
  <c r="C100" i="2" s="1"/>
  <c r="C65" i="2"/>
  <c r="F93" i="3"/>
  <c r="F99" i="3" s="1"/>
  <c r="D67" i="3"/>
  <c r="D78" i="3"/>
  <c r="D84" i="3" s="1"/>
  <c r="D90" i="3"/>
  <c r="E88" i="2"/>
  <c r="E76" i="2"/>
  <c r="E82" i="2" s="1"/>
  <c r="E65" i="2"/>
  <c r="F95" i="4"/>
  <c r="F101" i="4" s="1"/>
  <c r="G95" i="4"/>
  <c r="G101" i="4" s="1"/>
  <c r="D93" i="4"/>
  <c r="D99" i="4" s="1"/>
  <c r="H90" i="2"/>
  <c r="H78" i="2"/>
  <c r="H84" i="2" s="1"/>
  <c r="H96" i="2" s="1"/>
  <c r="H102" i="2" s="1"/>
  <c r="H67" i="2"/>
  <c r="D88" i="2"/>
  <c r="D65" i="2"/>
  <c r="D76" i="2"/>
  <c r="D82" i="2" s="1"/>
  <c r="F78" i="4"/>
  <c r="F84" i="4" s="1"/>
  <c r="F90" i="4"/>
  <c r="F67" i="4"/>
  <c r="G76" i="2"/>
  <c r="G82" i="2" s="1"/>
  <c r="G65" i="2"/>
  <c r="G88" i="2"/>
  <c r="J78" i="4"/>
  <c r="J84" i="4" s="1"/>
  <c r="J90" i="4"/>
  <c r="J67" i="4"/>
  <c r="G78" i="4"/>
  <c r="G84" i="4" s="1"/>
  <c r="G67" i="4"/>
  <c r="G90" i="4"/>
  <c r="D76" i="4"/>
  <c r="D82" i="4" s="1"/>
  <c r="D65" i="4"/>
  <c r="D88" i="4"/>
  <c r="I76" i="3"/>
  <c r="I82" i="3" s="1"/>
  <c r="I88" i="3"/>
  <c r="I65" i="3"/>
  <c r="I93" i="3"/>
  <c r="I99" i="3" s="1"/>
  <c r="I95" i="2"/>
  <c r="I101" i="2" s="1"/>
  <c r="H95" i="2"/>
  <c r="H101" i="2" s="1"/>
  <c r="F76" i="2"/>
  <c r="F82" i="2" s="1"/>
  <c r="F65" i="2"/>
  <c r="F88" i="2"/>
  <c r="J89" i="3"/>
  <c r="J66" i="3"/>
  <c r="J77" i="3"/>
  <c r="J83" i="3" s="1"/>
  <c r="E79" i="3"/>
  <c r="E85" i="3" s="1"/>
  <c r="E91" i="3"/>
  <c r="I90" i="2"/>
  <c r="I78" i="2"/>
  <c r="I84" i="2" s="1"/>
  <c r="I96" i="2" s="1"/>
  <c r="I102" i="2" s="1"/>
  <c r="I67" i="2"/>
  <c r="G76" i="3"/>
  <c r="G82" i="3" s="1"/>
  <c r="G88" i="3"/>
  <c r="G65" i="3"/>
  <c r="H66" i="4"/>
  <c r="H77" i="4"/>
  <c r="H83" i="4" s="1"/>
  <c r="H89" i="4"/>
  <c r="G93" i="3"/>
  <c r="G99" i="3" s="1"/>
  <c r="D93" i="2"/>
  <c r="D99" i="2" s="1"/>
  <c r="C94" i="4" l="1"/>
  <c r="C100" i="4" s="1"/>
  <c r="D40" i="7"/>
  <c r="D51" i="7" s="1"/>
  <c r="D30" i="7"/>
  <c r="C95" i="3"/>
  <c r="C101" i="3" s="1"/>
  <c r="E94" i="2"/>
  <c r="E100" i="2" s="1"/>
  <c r="H95" i="4"/>
  <c r="H101" i="4" s="1"/>
  <c r="C78" i="3"/>
  <c r="C84" i="3" s="1"/>
  <c r="C90" i="3"/>
  <c r="C67" i="3"/>
  <c r="E89" i="2"/>
  <c r="E66" i="2"/>
  <c r="E77" i="2"/>
  <c r="E83" i="2" s="1"/>
  <c r="F91" i="4"/>
  <c r="F79" i="4"/>
  <c r="F85" i="4" s="1"/>
  <c r="F97" i="4" s="1"/>
  <c r="I89" i="3"/>
  <c r="I77" i="3"/>
  <c r="I83" i="3" s="1"/>
  <c r="I66" i="3"/>
  <c r="J79" i="2"/>
  <c r="J85" i="2" s="1"/>
  <c r="J91" i="2"/>
  <c r="H79" i="2"/>
  <c r="H85" i="2" s="1"/>
  <c r="H91" i="2"/>
  <c r="G94" i="3"/>
  <c r="G100" i="3" s="1"/>
  <c r="E89" i="4"/>
  <c r="E66" i="4"/>
  <c r="E77" i="4"/>
  <c r="E83" i="4" s="1"/>
  <c r="E95" i="4" s="1"/>
  <c r="E101" i="4" s="1"/>
  <c r="D89" i="4"/>
  <c r="D66" i="4"/>
  <c r="D77" i="4"/>
  <c r="D83" i="4" s="1"/>
  <c r="D95" i="4" s="1"/>
  <c r="D101" i="4" s="1"/>
  <c r="D94" i="4"/>
  <c r="D100" i="4" s="1"/>
  <c r="B31" i="7"/>
  <c r="B42" i="7" s="1"/>
  <c r="B41" i="7"/>
  <c r="B52" i="7" s="1"/>
  <c r="F89" i="3"/>
  <c r="F66" i="3"/>
  <c r="F77" i="3"/>
  <c r="F83" i="3" s="1"/>
  <c r="G96" i="4"/>
  <c r="G102" i="4" s="1"/>
  <c r="J95" i="3"/>
  <c r="J101" i="3" s="1"/>
  <c r="J91" i="4"/>
  <c r="J79" i="4"/>
  <c r="J85" i="4" s="1"/>
  <c r="J96" i="4"/>
  <c r="J102" i="4" s="1"/>
  <c r="G77" i="2"/>
  <c r="G83" i="2" s="1"/>
  <c r="G89" i="2"/>
  <c r="G66" i="2"/>
  <c r="D79" i="3"/>
  <c r="D85" i="3" s="1"/>
  <c r="D91" i="3"/>
  <c r="D77" i="2"/>
  <c r="D83" i="2" s="1"/>
  <c r="D89" i="2"/>
  <c r="D66" i="2"/>
  <c r="H78" i="4"/>
  <c r="H84" i="4" s="1"/>
  <c r="H67" i="4"/>
  <c r="H90" i="4"/>
  <c r="G66" i="3"/>
  <c r="G89" i="3"/>
  <c r="G77" i="3"/>
  <c r="G83" i="3" s="1"/>
  <c r="G95" i="3" s="1"/>
  <c r="G101" i="3" s="1"/>
  <c r="I94" i="3"/>
  <c r="I100" i="3" s="1"/>
  <c r="E94" i="4"/>
  <c r="E100" i="4" s="1"/>
  <c r="I78" i="4"/>
  <c r="I84" i="4" s="1"/>
  <c r="I90" i="4"/>
  <c r="I67" i="4"/>
  <c r="G105" i="4"/>
  <c r="G109" i="4" s="1"/>
  <c r="F77" i="2"/>
  <c r="F83" i="2" s="1"/>
  <c r="F89" i="2"/>
  <c r="F66" i="2"/>
  <c r="C66" i="4"/>
  <c r="C89" i="4"/>
  <c r="C77" i="4"/>
  <c r="C83" i="4" s="1"/>
  <c r="I79" i="2"/>
  <c r="I85" i="2" s="1"/>
  <c r="I91" i="2"/>
  <c r="G91" i="4"/>
  <c r="G79" i="4"/>
  <c r="G85" i="4" s="1"/>
  <c r="G97" i="4" s="1"/>
  <c r="G103" i="4" s="1"/>
  <c r="E97" i="3"/>
  <c r="I95" i="4"/>
  <c r="I101" i="4" s="1"/>
  <c r="F94" i="3"/>
  <c r="F100" i="3" s="1"/>
  <c r="J78" i="3"/>
  <c r="J84" i="3" s="1"/>
  <c r="J67" i="3"/>
  <c r="J90" i="3"/>
  <c r="H89" i="3"/>
  <c r="H66" i="3"/>
  <c r="H77" i="3"/>
  <c r="H83" i="3" s="1"/>
  <c r="F94" i="2"/>
  <c r="F100" i="2" s="1"/>
  <c r="C31" i="7"/>
  <c r="C42" i="7" s="1"/>
  <c r="C41" i="7"/>
  <c r="C52" i="7" s="1"/>
  <c r="G94" i="2"/>
  <c r="G100" i="2" s="1"/>
  <c r="D96" i="3"/>
  <c r="D102" i="3" s="1"/>
  <c r="F96" i="4"/>
  <c r="F102" i="4" s="1"/>
  <c r="D94" i="2"/>
  <c r="D100" i="2" s="1"/>
  <c r="C77" i="2"/>
  <c r="C83" i="2" s="1"/>
  <c r="C89" i="2"/>
  <c r="C66" i="2"/>
  <c r="E40" i="7"/>
  <c r="E51" i="7" s="1"/>
  <c r="E30" i="7"/>
  <c r="D97" i="3" l="1"/>
  <c r="D103" i="3" s="1"/>
  <c r="H97" i="2"/>
  <c r="H103" i="2" s="1"/>
  <c r="H105" i="2" s="1"/>
  <c r="H109" i="2" s="1"/>
  <c r="C96" i="3"/>
  <c r="C102" i="3" s="1"/>
  <c r="C79" i="3"/>
  <c r="C85" i="3" s="1"/>
  <c r="C91" i="3"/>
  <c r="D41" i="7"/>
  <c r="D52" i="7" s="1"/>
  <c r="D31" i="7"/>
  <c r="D42" i="7" s="1"/>
  <c r="D105" i="3"/>
  <c r="D109" i="3" s="1"/>
  <c r="C95" i="4"/>
  <c r="C101" i="4" s="1"/>
  <c r="I91" i="4"/>
  <c r="I79" i="4"/>
  <c r="I85" i="4" s="1"/>
  <c r="I97" i="4" s="1"/>
  <c r="I103" i="4" s="1"/>
  <c r="C55" i="7"/>
  <c r="C56" i="7" s="1"/>
  <c r="C53" i="7"/>
  <c r="C54" i="7" s="1"/>
  <c r="J91" i="3"/>
  <c r="J79" i="3"/>
  <c r="J85" i="3" s="1"/>
  <c r="J97" i="3" s="1"/>
  <c r="J103" i="3" s="1"/>
  <c r="J105" i="3" s="1"/>
  <c r="J109" i="3" s="1"/>
  <c r="F95" i="3"/>
  <c r="F101" i="3" s="1"/>
  <c r="E95" i="2"/>
  <c r="E101" i="2" s="1"/>
  <c r="G90" i="2"/>
  <c r="G67" i="2"/>
  <c r="G78" i="2"/>
  <c r="G84" i="2" s="1"/>
  <c r="G96" i="2" s="1"/>
  <c r="G102" i="2" s="1"/>
  <c r="F95" i="2"/>
  <c r="F101" i="2" s="1"/>
  <c r="J97" i="2"/>
  <c r="J103" i="2" s="1"/>
  <c r="J105" i="2" s="1"/>
  <c r="J109" i="2" s="1"/>
  <c r="I67" i="3"/>
  <c r="I78" i="3"/>
  <c r="I84" i="3" s="1"/>
  <c r="I90" i="3"/>
  <c r="J97" i="4"/>
  <c r="J103" i="4" s="1"/>
  <c r="J105" i="4" s="1"/>
  <c r="J109" i="4" s="1"/>
  <c r="H67" i="3"/>
  <c r="H90" i="3"/>
  <c r="H78" i="3"/>
  <c r="H84" i="3" s="1"/>
  <c r="H96" i="3" s="1"/>
  <c r="H102" i="3" s="1"/>
  <c r="I96" i="4"/>
  <c r="I102" i="4" s="1"/>
  <c r="F103" i="4"/>
  <c r="F105" i="4" s="1"/>
  <c r="F109" i="4" s="1"/>
  <c r="F106" i="4"/>
  <c r="F107" i="4" s="1"/>
  <c r="G67" i="3"/>
  <c r="G90" i="3"/>
  <c r="G78" i="3"/>
  <c r="G84" i="3" s="1"/>
  <c r="G96" i="3" s="1"/>
  <c r="G102" i="3" s="1"/>
  <c r="E106" i="3"/>
  <c r="E107" i="3" s="1"/>
  <c r="E103" i="3"/>
  <c r="E105" i="3" s="1"/>
  <c r="E109" i="3" s="1"/>
  <c r="H91" i="4"/>
  <c r="H79" i="4"/>
  <c r="H85" i="4" s="1"/>
  <c r="H97" i="4" s="1"/>
  <c r="H103" i="4" s="1"/>
  <c r="D67" i="2"/>
  <c r="D90" i="2"/>
  <c r="D78" i="2"/>
  <c r="D84" i="2" s="1"/>
  <c r="D96" i="2" s="1"/>
  <c r="D102" i="2" s="1"/>
  <c r="C90" i="2"/>
  <c r="C67" i="2"/>
  <c r="C78" i="2"/>
  <c r="C84" i="2" s="1"/>
  <c r="C95" i="2"/>
  <c r="C101" i="2" s="1"/>
  <c r="E90" i="4"/>
  <c r="E67" i="4"/>
  <c r="E78" i="4"/>
  <c r="E84" i="4" s="1"/>
  <c r="G95" i="2"/>
  <c r="G101" i="2" s="1"/>
  <c r="H95" i="3"/>
  <c r="H101" i="3" s="1"/>
  <c r="I95" i="3"/>
  <c r="I101" i="3" s="1"/>
  <c r="J96" i="3"/>
  <c r="J102" i="3" s="1"/>
  <c r="F90" i="3"/>
  <c r="F67" i="3"/>
  <c r="F78" i="3"/>
  <c r="F84" i="3" s="1"/>
  <c r="F96" i="3" s="1"/>
  <c r="F102" i="3" s="1"/>
  <c r="E67" i="2"/>
  <c r="E90" i="2"/>
  <c r="E78" i="2"/>
  <c r="E84" i="2" s="1"/>
  <c r="E96" i="2" s="1"/>
  <c r="E102" i="2" s="1"/>
  <c r="I105" i="4"/>
  <c r="I109" i="4" s="1"/>
  <c r="B55" i="7"/>
  <c r="B56" i="7" s="1"/>
  <c r="B53" i="7"/>
  <c r="B54" i="7" s="1"/>
  <c r="B57" i="7" s="1"/>
  <c r="B58" i="7" s="1"/>
  <c r="B59" i="7" s="1"/>
  <c r="B60" i="7" s="1"/>
  <c r="E31" i="7"/>
  <c r="E42" i="7" s="1"/>
  <c r="E41" i="7"/>
  <c r="E52" i="7" s="1"/>
  <c r="H96" i="4"/>
  <c r="H102" i="4" s="1"/>
  <c r="H105" i="4" s="1"/>
  <c r="H109" i="4" s="1"/>
  <c r="D67" i="4"/>
  <c r="D90" i="4"/>
  <c r="D78" i="4"/>
  <c r="D84" i="4" s="1"/>
  <c r="I97" i="2"/>
  <c r="I103" i="2" s="1"/>
  <c r="I105" i="2" s="1"/>
  <c r="I109" i="2" s="1"/>
  <c r="D95" i="2"/>
  <c r="D101" i="2" s="1"/>
  <c r="C78" i="4"/>
  <c r="C84" i="4" s="1"/>
  <c r="C90" i="4"/>
  <c r="C67" i="4"/>
  <c r="F90" i="2"/>
  <c r="F78" i="2"/>
  <c r="F84" i="2" s="1"/>
  <c r="F67" i="2"/>
  <c r="C57" i="7" l="1"/>
  <c r="C58" i="7" s="1"/>
  <c r="C59" i="7" s="1"/>
  <c r="C60" i="7" s="1"/>
  <c r="F96" i="2"/>
  <c r="F102" i="2" s="1"/>
  <c r="D55" i="7"/>
  <c r="D56" i="7" s="1"/>
  <c r="D53" i="7"/>
  <c r="D54" i="7" s="1"/>
  <c r="D57" i="7" s="1"/>
  <c r="D58" i="7" s="1"/>
  <c r="D59" i="7" s="1"/>
  <c r="D60" i="7" s="1"/>
  <c r="C97" i="3"/>
  <c r="C96" i="2"/>
  <c r="C102" i="2" s="1"/>
  <c r="C91" i="2"/>
  <c r="C79" i="2"/>
  <c r="C85" i="2" s="1"/>
  <c r="C97" i="2" s="1"/>
  <c r="D91" i="2"/>
  <c r="D79" i="2"/>
  <c r="D85" i="2" s="1"/>
  <c r="G79" i="2"/>
  <c r="G85" i="2" s="1"/>
  <c r="G91" i="2"/>
  <c r="C96" i="4"/>
  <c r="C102" i="4" s="1"/>
  <c r="I96" i="3"/>
  <c r="I102" i="3" s="1"/>
  <c r="F79" i="3"/>
  <c r="F85" i="3" s="1"/>
  <c r="F91" i="3"/>
  <c r="H79" i="3"/>
  <c r="H85" i="3" s="1"/>
  <c r="H91" i="3"/>
  <c r="E55" i="7"/>
  <c r="E56" i="7" s="1"/>
  <c r="E53" i="7"/>
  <c r="E54" i="7" s="1"/>
  <c r="E79" i="2"/>
  <c r="E85" i="2" s="1"/>
  <c r="E91" i="2"/>
  <c r="F79" i="2"/>
  <c r="F85" i="2" s="1"/>
  <c r="F91" i="2"/>
  <c r="G79" i="3"/>
  <c r="G85" i="3" s="1"/>
  <c r="G91" i="3"/>
  <c r="E79" i="4"/>
  <c r="E85" i="4" s="1"/>
  <c r="E97" i="4" s="1"/>
  <c r="E91" i="4"/>
  <c r="D79" i="4"/>
  <c r="D85" i="4" s="1"/>
  <c r="D91" i="4"/>
  <c r="I79" i="3"/>
  <c r="I85" i="3" s="1"/>
  <c r="I91" i="3"/>
  <c r="C79" i="4"/>
  <c r="C85" i="4" s="1"/>
  <c r="C91" i="4"/>
  <c r="D96" i="4"/>
  <c r="D102" i="4" s="1"/>
  <c r="E96" i="4"/>
  <c r="E102" i="4" s="1"/>
  <c r="D97" i="2" l="1"/>
  <c r="D103" i="2" s="1"/>
  <c r="D105" i="2" s="1"/>
  <c r="D109" i="2" s="1"/>
  <c r="C103" i="3"/>
  <c r="C105" i="3" s="1"/>
  <c r="C109" i="3" s="1"/>
  <c r="C106" i="3"/>
  <c r="C107" i="3" s="1"/>
  <c r="G97" i="3"/>
  <c r="G103" i="3" s="1"/>
  <c r="G105" i="3" s="1"/>
  <c r="G109" i="3" s="1"/>
  <c r="F97" i="3"/>
  <c r="E103" i="4"/>
  <c r="E105" i="4" s="1"/>
  <c r="E106" i="4"/>
  <c r="E107" i="4" s="1"/>
  <c r="F97" i="2"/>
  <c r="E97" i="2"/>
  <c r="G97" i="2"/>
  <c r="G103" i="2" s="1"/>
  <c r="G105" i="2" s="1"/>
  <c r="G109" i="2" s="1"/>
  <c r="D97" i="4"/>
  <c r="D103" i="4" s="1"/>
  <c r="D105" i="4" s="1"/>
  <c r="D109" i="4" s="1"/>
  <c r="E57" i="7"/>
  <c r="E58" i="7" s="1"/>
  <c r="E59" i="7" s="1"/>
  <c r="E60" i="7" s="1"/>
  <c r="H97" i="3"/>
  <c r="H103" i="3" s="1"/>
  <c r="H105" i="3" s="1"/>
  <c r="H109" i="3" s="1"/>
  <c r="C97" i="4"/>
  <c r="I97" i="3"/>
  <c r="I103" i="3" s="1"/>
  <c r="I105" i="3" s="1"/>
  <c r="I109" i="3" s="1"/>
  <c r="C103" i="2"/>
  <c r="C105" i="2" s="1"/>
  <c r="C106" i="2"/>
  <c r="C107" i="2" s="1"/>
  <c r="C103" i="4" l="1"/>
  <c r="C105" i="4" s="1"/>
  <c r="C106" i="4"/>
  <c r="C107" i="4" s="1"/>
  <c r="E106" i="2"/>
  <c r="E107" i="2" s="1"/>
  <c r="E103" i="2"/>
  <c r="E105" i="2" s="1"/>
  <c r="C109" i="2"/>
  <c r="F103" i="2"/>
  <c r="F105" i="2" s="1"/>
  <c r="F106" i="2"/>
  <c r="F107" i="2" s="1"/>
  <c r="E109" i="4"/>
  <c r="F106" i="3"/>
  <c r="F107" i="3" s="1"/>
  <c r="F103" i="3"/>
  <c r="F105" i="3" s="1"/>
  <c r="F109" i="3" s="1"/>
  <c r="E109" i="2" l="1"/>
  <c r="K109" i="3"/>
  <c r="K119" i="3" s="1"/>
  <c r="K122" i="3" s="1"/>
  <c r="B17" i="6" s="1"/>
  <c r="K110" i="3"/>
  <c r="F109" i="2"/>
  <c r="K109" i="2" s="1"/>
  <c r="K119" i="2" s="1"/>
  <c r="K122" i="2" s="1"/>
  <c r="B18" i="6" s="1"/>
  <c r="E18" i="6" s="1"/>
  <c r="C109" i="4"/>
  <c r="K110" i="2" l="1"/>
  <c r="K110" i="4"/>
  <c r="K109" i="4"/>
  <c r="K119" i="4" s="1"/>
  <c r="K122" i="4" s="1"/>
  <c r="B19" i="6" s="1"/>
  <c r="E19" i="6" s="1"/>
  <c r="E17" i="6"/>
  <c r="B21" i="6"/>
  <c r="E2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FinSurf Q-Update</author>
  </authors>
  <commentList>
    <comment ref="B13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Q-Update H1 2026 · Total Debt
FY: 103,952m → aktuell: 110,152m
Begründung: Q-Bilanz (structural)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FinSurf Q-Update</author>
  </authors>
  <commentList>
    <comment ref="D6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Q-Update H1 2026 · USA · Umsatz-CAGR
FY: 5.5% → aktuell: 4.0%
Begründung: Baseline 5,5% CAGR war bewusst über dem FX-kontaminierten EUR-2J-Anker (3,85%) angesetzt, gestützt auf organisches/USD-Wachstum. Q-Befund 'Base-Bedingung verletzt' bestätigt sich: H1 2026 EUR-Umsatzwachstum nur +2,4% (39.306 Mio.€ vs. 38.397 Mio.€ H1 2025), während US-Dollar-Wachstum bei +9,4% liegt (Service Revenue USD +10,2%, Postpaid-ARPA-Anstieg, UScellular/Metronet/Lumos-Beitrag) — die Base-Case-Bedingung 'EUR/USD nahe Spot ~1,13' ist verletzt ('negative exchange rate effects' explizit a...</t>
        </r>
      </text>
    </comment>
    <comment ref="E6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>Q-Update H1 2026 · Europa · Umsatz-CAGR
FY: 2.8% → aktuell: 2.2%
Begründung: Baseline 2,8% CAGR gestützt auf organisches Wachstum 2025 (2,9%). Q-Befund 'Base-Bedingung verletzt' bestätigt sich: H1 2026 Umsatz +1,3% berichtet (6.253 Mio.€ vs. 6.170 Mio.€ H1 2025), organisch (bereinigt um Rumänien-Exit und FX) +1,5% — unter der Baseline-Rate. Treiber der Verlangsamung: Wholesale-Rückgang (Auslaufen vertraglich vereinbarter Preiserhöhungen unter dem Commitment-Modell), Österreich-Umsatzrückgang (-1,5%, Wegfall einer Geschäftsbeziehung), Rumänien-Exit-Nachwirkung. year1-B...</t>
        </r>
      </text>
    </comment>
    <comment ref="E7" authorId="0" shapeId="0" xr:uid="{00000000-0006-0000-0100-000003000000}">
      <text>
        <r>
          <rPr>
            <sz val="11"/>
            <color theme="1"/>
            <rFont val="Calibri"/>
            <family val="2"/>
            <scheme val="minor"/>
          </rPr>
          <t>Q-Update H1 2026 · Europa · EBIT-Marge Y1
FY: 19.7% → aktuell: 21.5%
Begründung: Y1 19,7% (FY2025-Baseline) wird durch H1 2026 deutlich übertroffen: EBIT-Marge H1 2026 21,8% (Q1 21,4%, Q2 22,1%) vs. H1 2025 19,8% und FY2025 19,7%. Da H1 2025 (19,8%) nahezu identisch mit FY2025 (19,7%) war (keine ausgeprägte Saisonalität H1 vs. FY in diesem Segment), ist die H1-2026-Übertreffung ein belastbarer Indikator für das Gesamtjahr und nicht nur ein Quartals-Ausschlag. Dokumentierter, bezifferter Treiber: durchgängig positive Nettomarge-Entwicklung in nahezu allen Landesgesellschaf...</t>
        </r>
      </text>
    </comment>
    <comment ref="E9" authorId="0" shapeId="0" xr:uid="{00000000-0006-0000-0100-000004000000}">
      <text>
        <r>
          <rPr>
            <sz val="11"/>
            <color theme="1"/>
            <rFont val="Calibri"/>
            <family val="2"/>
            <scheme val="minor"/>
          </rPr>
          <t>Q-Update H1 2026 · Europa · EBIT-Marge Y5
FY: 22.5% → aktuell: 23.5%
Begründung: Y1 19,7% (FY2025-Baseline) wird durch H1 2026 deutlich übertroffen: EBIT-Marge H1 2026 21,8% (Q1 21,4%, Q2 22,1%) vs. H1 2025 19,8% und FY2025 19,7%. Da H1 2025 (19,8%) nahezu identisch mit FY2025 (19,7%) war (keine ausgeprägte Saisonalität H1 vs. FY in diesem Segment), ist die H1-2026-Übertreffung ein belastbarer Indikator für das Gesamtjahr und nicht nur ein Quartals-Ausschlag. Dokumentierter, bezifferter Treiber: durchgängig positive Nettomarge-Entwicklung in nahezu allen Landesgesellschaf...</t>
        </r>
      </text>
    </comment>
  </commentList>
</comments>
</file>

<file path=xl/sharedStrings.xml><?xml version="1.0" encoding="utf-8"?>
<sst xmlns="http://schemas.openxmlformats.org/spreadsheetml/2006/main" count="704" uniqueCount="386">
  <si>
    <t>FinSurf — SOTP-DCF Inputs</t>
  </si>
  <si>
    <t>Phase 2 v3 — per-Segment WACC (Damodaran β), shared D/E + tax. Column C = Reasoning.</t>
  </si>
  <si>
    <t>── Company ──</t>
  </si>
  <si>
    <t>Company</t>
  </si>
  <si>
    <t>Deutsche Telekom</t>
  </si>
  <si>
    <t>Ticker</t>
  </si>
  <si>
    <t>DTE.DE</t>
  </si>
  <si>
    <t>Currency</t>
  </si>
  <si>
    <t>EUR</t>
  </si>
  <si>
    <t>Report Date (ISO)</t>
  </si>
  <si>
    <t>2026-06-30</t>
  </si>
  <si>
    <t>── Group Bilanz (Y0) ──</t>
  </si>
  <si>
    <t>Shares Outstanding (Mio.)</t>
  </si>
  <si>
    <t>Cash (Mio.)</t>
  </si>
  <si>
    <t>Total Debt ex-Leases (Mio.)</t>
  </si>
  <si>
    <t>Net Debt (Mio.) [calc]</t>
  </si>
  <si>
    <t>Minority Interest (Mio.)</t>
  </si>
  <si>
    <t>── WACC Build-Up (Group-Defaults; Segmente überschreiben β) ──</t>
  </si>
  <si>
    <t>← Reasoning (Writer befüllt)</t>
  </si>
  <si>
    <t>Risk-Free Rate (Rf)</t>
  </si>
  <si>
    <t>Bund 10y 31.12.2025 (Platzhalter, wird von Python mit Marktdaten überschrieben)</t>
  </si>
  <si>
    <t>Equity Risk Premium (ERP)</t>
  </si>
  <si>
    <t>Damodaran Europe (deterministisch)</t>
  </si>
  <si>
    <t>Unlevered Beta (Group, Fallback)</t>
  </si>
  <si>
    <t>Damodaran Sektor-Beta, aus data/industry_betas.json</t>
  </si>
  <si>
    <t>Target D/E</t>
  </si>
  <si>
    <t>(Kapitalstruktur-Annahme: Writer)</t>
  </si>
  <si>
    <t>Tax Rate</t>
  </si>
  <si>
    <t>(Effektiver Steuersatz: Writer)</t>
  </si>
  <si>
    <t>Levered Beta Group [calc, β→1 konvergiert]</t>
  </si>
  <si>
    <t>Country Risk Premium</t>
  </si>
  <si>
    <t>USA 65,6% (0%) + Deutschland 21,0% (0%) + Europa-Segment 10,4% (CEE-Mix Griechenland/Ungarn/Polen/Tschechien ~0,7%) + Systemgeschäft 2,9% (DACH, 0%) → gewichtet ca. 0,07%, gerundet 0,1%.</t>
  </si>
  <si>
    <t>Specific Risk Premium</t>
  </si>
  <si>
    <t>Breit gestreuter Streubesitz, kein Beherrschungsverhältnis (Bund 28,3% Beteiligung ohne Hauptversammlungsmehrheit seit 2016), keine strukturelle Governance-Besonderheit auf Konzernebene.</t>
  </si>
  <si>
    <t>Cost of Equity Group [calc, ≥ Kd + Nachrang-Spread]</t>
  </si>
  <si>
    <t>Cost of Debt pre-tax (Kd)</t>
  </si>
  <si>
    <t>BBB+/A3-Investment-Grade-Rating (Moody's im September 2025 auf A3 angehoben, S&amp;P-Ausblick positiv), geschätzter Spread ca. 130-150bps über risikofreiem Zins für gemischtes EUR/USD-Anleiheportfolio. Bericht weist nur das NETTO-Zinsergebnis (-5,9 Mrd.€) aus, das laut Regel NICHT als Kd-Anker verwendet werden darf; Bruttozinsaufwand (Angabe 29) nicht im Auszug enthalten.</t>
  </si>
  <si>
    <t>Cost of Debt after-tax [calc]</t>
  </si>
  <si>
    <t>Equity Weight E/(D+E) [calc]</t>
  </si>
  <si>
    <t>Debt Weight D/(D+E) [calc]</t>
  </si>
  <si>
    <t>WACC Group [calc, =MAX(CAPM, Floor)]</t>
  </si>
  <si>
    <t>── Sensitivity-Shocks (Phase 2.5) ──</t>
  </si>
  <si>
    <t>Margin Shock (pp)</t>
  </si>
  <si>
    <t>Growth Shock (pp)</t>
  </si>
  <si>
    <t>WACC Floor (Group, Sektor-Anker)</t>
  </si>
  <si>
    <t>rf(Whg) + β_low(Sektor)×ERP — Writer (data/wacc_floors)</t>
  </si>
  <si>
    <t>Terminal Debt Weight D/(D+E) (firmeneigen, gehalten)</t>
  </si>
  <si>
    <t>Stable-Phase haelt die aktuelle Kapitalstruktur — Writer (terminal_debt_weight_for: current D/E oder Lock-Override)</t>
  </si>
  <si>
    <t>Terminal Kd pre-tax (Rf + base + slope×wD)</t>
  </si>
  <si>
    <t>Credit-Curve: Spread steigt mit Leverage (Anti-Free-Lunch)</t>
  </si>
  <si>
    <t>Terminal Kd after-tax [calc]</t>
  </si>
  <si>
    <t>Groessenpraemie (Marktkap-Band)</t>
  </si>
  <si>
    <t>Marktkap 138,313 Mio EUR (DTE.DE) → Large/Mega Cap (&gt; 10 Mrd): +0.00 pp auf Ke</t>
  </si>
  <si>
    <t>Pensions-Unterdeckung (DBO - Planvermoegen), Anhang</t>
  </si>
  <si>
    <t>Hybrid-/Nachrangkapital, von IFRS als Eigenkapital gefuehrt</t>
  </si>
  <si>
    <t>SOTP DCF [Base] — Segment-Level Forecast + Group-Aggregation</t>
  </si>
  <si>
    <t>Yellow = Inputs. Orange = Reasoning (Writer befüllt nach Review-Call). Blue = computed. Green = output.</t>
  </si>
  <si>
    <t>Deutschland</t>
  </si>
  <si>
    <t>USA</t>
  </si>
  <si>
    <t>Europa</t>
  </si>
  <si>
    <t>Systemgeschäft</t>
  </si>
  <si>
    <t>Segment 5</t>
  </si>
  <si>
    <t>Segment 6</t>
  </si>
  <si>
    <t>Segment 7</t>
  </si>
  <si>
    <t>Segment 8</t>
  </si>
  <si>
    <t>GROUP</t>
  </si>
  <si>
    <t>Segment name</t>
  </si>
  <si>
    <t>USA → TOCHTER-IMPORT</t>
  </si>
  <si>
    <t>Y0 Revenue (Mio.)</t>
  </si>
  <si>
    <t>Revenue CAGR (5J)</t>
  </si>
  <si>
    <t>EBIT Margin Y1</t>
  </si>
  <si>
    <t>EBIT Margin Y1 (berichtet, IST)</t>
  </si>
  <si>
    <t>EBIT Margin Y5 (optional)</t>
  </si>
  <si>
    <t>Brutto-Capex / Revenue (Audit)</t>
  </si>
  <si>
    <t>D&amp;A / Revenue (Audit)</t>
  </si>
  <si>
    <t>Net Capex / Revenue (direkt, Y1)</t>
  </si>
  <si>
    <t>Terminal Growth</t>
  </si>
  <si>
    <t>Unlevered β (Damodaran, Segment)</t>
  </si>
  <si>
    <t>WACC-Floor (Sektor, Damodaran-Anker)</t>
  </si>
  <si>
    <t>Segment WACC [calc, =MAX(CAPM, Floor)]</t>
  </si>
  <si>
    <t>Segment CRP Override (leer = Group-CRP)</t>
  </si>
  <si>
    <t>Growth-Reasoning (Review-Call-Audit)</t>
  </si>
  <si>
    <t>Demonstrierte 2J-CAGR nur 0,84% (Umsatz 2023-2025 nahezu flat, 2025 sogar -0,4% wegen Endgeräteumsätzen im Mobilfunk); Service-Umsatz aber +1,0%. Management-Guidance 2026/2027 jeweils 'leichter Anstieg' für Umsatz UND Service-Umsatz, getragen von Glasfaser- und Mobilfunk-Wachstum. Modelliert 1,3% CAGR knapp über demonstrierter Basis, innerhalb der 2pp-Toleranz, gestützt auf anhaltende Glasfaser-Take-up-Dynamik (12,6 Mio. Homes Passed) und 5G-Flächenversorgung (99,0%). KEIN Q-Befund für dieses...</t>
  </si>
  <si>
    <t>BEWERTET AUS TOCHTER-SOTP: T-Mobile US (2026-08-18_run3) — Annahmen + Herleitung im Block Zeile 124 ff. Diese DCF-Spalte ist BEWUSST leer (EV 0), damit kein verworfener Mutter-DCF im Audit-Trail steht.</t>
  </si>
  <si>
    <t>Baseline 2,8% CAGR gestützt auf organisches Wachstum 2025 (2,9%). Q-Befund 'Base-Bedingung verletzt' bestätigt sich: H1 2026 Umsatz +1,3% berichtet (6.253 Mio.€ vs. 6.170 Mio.€ H1 2025), organisch (bereinigt um Rumänien-Exit und FX) +1,5% — unter der Baseline-Rate. Treiber der Verlangsamung: Wholesale-Rückgang (Auslaufen vertraglich vereinbarter Preiserhöhungen unter dem Commitment-Modell), Österreich-Umsatzrückgang (-1,5%, Wegfall einer Geschäftsbeziehung), Rumänien-Exit-Nachwirkung. year1-B...</t>
  </si>
  <si>
    <t>Demonstrierte 2J-CAGR 2,6%; Auftragseingang 2025 +4,2% auf 4,2 Mrd.€ (Digital, Road Charging) übersteigt Umsatz von 4,1 Mrd.€ (Book-to-Bill &gt;1, wachsender Backlog). Guidance 2026/2027 jeweils 'Anstieg' (stärker als 'leichter Anstieg' bei anderen Segmenten). Modelliert 4,5%, über demonstrierter CAGR gestützt durch Backlog-Wachstum und Margensteigerungen im Cloud-Bereich (EBITDA AL +15,7% 2025 bei nur +2,5% Umsatz). KEIN Q-Befund für dieses Segment in H1 2026 (Umsatz +4,0%, im Rahmen der Guidan...</t>
  </si>
  <si>
    <t>Margin-Reasoning (Review-Call-Audit)</t>
  </si>
  <si>
    <t>Y1 25,0% = gedruckte Segment-EBIT-Marge 2025 (reported_ebit_margin), volle IFRS-Basis inkl. SBC und recurring sozialverträglicher Personalmaßnahmen (0,5 Mrd.€ 2025, NICHT herausgerechnet, da mehrjähriges Programm). Demonstrated Mid-Cycle ~24,5% (Ø 2023/2025 normal, 2024 als Trough wegen einmaliger IFM-Kaufpreisverzicht + höherer Sondereinflüsse klassifiziert). Y5 26,5% (+2,0pp über demonstriert) begründet durch dokumentierte, bezifferte Kosteneffizienz-Trend (niedrigere Mitarbeiterzahl, Digit...</t>
  </si>
  <si>
    <t>Y1 19,7% (FY2025-Baseline) wird durch H1 2026 deutlich übertroffen: EBIT-Marge H1 2026 21,8% (Q1 21,4%, Q2 22,1%) vs. H1 2025 19,8% und FY2025 19,7%. Da H1 2025 (19,8%) nahezu identisch mit FY2025 (19,7%) war (keine ausgeprägte Saisonalität H1 vs. FY in diesem Segment), ist die H1-2026-Übertreffung ein belastbarer Indikator für das Gesamtjahr und nicht nur ein Quartals-Ausschlag. Dokumentierter, bezifferter Treiber: durchgängig positive Nettomarge-Entwicklung in nahezu allen Landesgesellschaf...</t>
  </si>
  <si>
    <t>Y1 2,3% = gedruckte Segment-EBIT-Marge 2025 (Segment &lt;5% Konzernumsatz, daher formal nicht Pflichtfeld, aber vorhanden). Historisch volatil: 2023 -1,8% (Trough, CGU-Impairment Systemgeschäft ~96 Mio.€ + 54 Mio.€), 2024 2,7%, 2025 2,3% (beide 'normal'). Demonstrated Mid-Cycle (Ø normal Jahre) = 2,5%. Y5 4,0% (+1,5pp über demonstriert) durch dokumentierte Margensteigerungen/Kostenoptimierungen im Cloud-Bereich sowie Mix-Shift zu höhermargigen Digital-/Road-Charging-Geschäften begründet. KEIN Q-...</t>
  </si>
  <si>
    <t>Y1 Revenue</t>
  </si>
  <si>
    <t>Y2 Revenue</t>
  </si>
  <si>
    <t>Y3 Revenue</t>
  </si>
  <si>
    <t>Y4 Revenue</t>
  </si>
  <si>
    <t>Y5 Revenue</t>
  </si>
  <si>
    <t>Net Capex / Revenue Y5 (optional, Forward-Struktur)</t>
  </si>
  <si>
    <t>Y1 EBIT Margin</t>
  </si>
  <si>
    <t>Y2 EBIT Margin</t>
  </si>
  <si>
    <t>Y3 EBIT Margin</t>
  </si>
  <si>
    <t>Y4 EBIT Margin</t>
  </si>
  <si>
    <t>Y5 EBIT Margin</t>
  </si>
  <si>
    <t>Y1 EBIT</t>
  </si>
  <si>
    <t>Y2 EBIT</t>
  </si>
  <si>
    <t>Y3 EBIT</t>
  </si>
  <si>
    <t>Y4 EBIT</t>
  </si>
  <si>
    <t>Y5 EBIT</t>
  </si>
  <si>
    <t>Y1 NOPAT (after-tax)</t>
  </si>
  <si>
    <t>Y2 NOPAT</t>
  </si>
  <si>
    <t>Y3 NOPAT</t>
  </si>
  <si>
    <t>Y4 NOPAT</t>
  </si>
  <si>
    <t>Y5 NOPAT</t>
  </si>
  <si>
    <t>Y1 Net Capex</t>
  </si>
  <si>
    <t>Y2 Net Capex</t>
  </si>
  <si>
    <t>Y3 Net Capex</t>
  </si>
  <si>
    <t>Y4 Net Capex</t>
  </si>
  <si>
    <t>Y5 Net Capex</t>
  </si>
  <si>
    <t>Y1 FCF</t>
  </si>
  <si>
    <t>Y2 FCF</t>
  </si>
  <si>
    <t>Y3 FCF</t>
  </si>
  <si>
    <t>Y4 FCF</t>
  </si>
  <si>
    <t>Y5 FCF</t>
  </si>
  <si>
    <t>PV(FCF Y1)</t>
  </si>
  <si>
    <t>PV(FCF Y2)</t>
  </si>
  <si>
    <t>PV(FCF Y3)</t>
  </si>
  <si>
    <t>PV(FCF Y4)</t>
  </si>
  <si>
    <t>PV(FCF Y5)</t>
  </si>
  <si>
    <t>── Stage-2 Fade Period (Year 6-10) ──</t>
  </si>
  <si>
    <t>Y6 Revenue (Fade)</t>
  </si>
  <si>
    <t>Y7 Revenue (Fade)</t>
  </si>
  <si>
    <t>Y8 Revenue (Fade)</t>
  </si>
  <si>
    <t>Y9 Revenue (Fade)</t>
  </si>
  <si>
    <t>Y10 Revenue (Fade)</t>
  </si>
  <si>
    <t>Y6 EBIT Margin (flat Y5)</t>
  </si>
  <si>
    <t>Y7 EBIT Margin (flat Y5)</t>
  </si>
  <si>
    <t>Y8 EBIT Margin (flat Y5)</t>
  </si>
  <si>
    <t>Y9 EBIT Margin (flat Y5)</t>
  </si>
  <si>
    <t>Y10 EBIT Margin (flat Y5)</t>
  </si>
  <si>
    <t>Y6 EBIT</t>
  </si>
  <si>
    <t>Y7 EBIT</t>
  </si>
  <si>
    <t>Y8 EBIT</t>
  </si>
  <si>
    <t>Y9 EBIT</t>
  </si>
  <si>
    <t>Y10 EBIT</t>
  </si>
  <si>
    <t>Y6 NOPAT</t>
  </si>
  <si>
    <t>Y7 NOPAT</t>
  </si>
  <si>
    <t>Y8 NOPAT</t>
  </si>
  <si>
    <t>Y9 NOPAT</t>
  </si>
  <si>
    <t>Y10 NOPAT</t>
  </si>
  <si>
    <t>Y6 Net Capex</t>
  </si>
  <si>
    <t>Y7 Net Capex</t>
  </si>
  <si>
    <t>Y8 Net Capex</t>
  </si>
  <si>
    <t>Y9 Net Capex</t>
  </si>
  <si>
    <t>Y10 Net Capex</t>
  </si>
  <si>
    <t>Y6 FCF</t>
  </si>
  <si>
    <t>Y7 FCF</t>
  </si>
  <si>
    <t>Y8 FCF</t>
  </si>
  <si>
    <t>Y9 FCF</t>
  </si>
  <si>
    <t>Y10 FCF</t>
  </si>
  <si>
    <t>PV(FCF Y6)</t>
  </si>
  <si>
    <t>PV(FCF Y7)</t>
  </si>
  <si>
    <t>PV(FCF Y8)</t>
  </si>
  <si>
    <t>PV(FCF Y9)</t>
  </si>
  <si>
    <t>PV(FCF Y10)</t>
  </si>
  <si>
    <t>Terminal WACC [calc, β→1 für Fade+Gordon]</t>
  </si>
  <si>
    <t>Σ PV(FCF Y1-Y10)</t>
  </si>
  <si>
    <t>Terminal Value (Gordon, FCF Y10)</t>
  </si>
  <si>
    <t>PV(Terminal Value)</t>
  </si>
  <si>
    <t>Segment EV</t>
  </si>
  <si>
    <t>EV-weighted WACC (avg)</t>
  </si>
  <si>
    <t>− Net Debt (ex Töchter, ex CF-Funding)</t>
  </si>
  <si>
    <t>− Minority Interest (adj.)</t>
  </si>
  <si>
    <t>± Corp. Overhead (kap.)</t>
  </si>
  <si>
    <t>± Töchter (Σ Mutter-Anteile, Block Z.124 ff.)</t>
  </si>
  <si>
    <t>+ Captive Finance (P/B × Equity-BW)</t>
  </si>
  <si>
    <t>± Binary Adj (Netto)</t>
  </si>
  <si>
    <t>± Multiple-Gate Adj (Sektor-Ceiling)</t>
  </si>
  <si>
    <t>− Operating-Cash-Floor (nicht ausschüttbar)</t>
  </si>
  <si>
    <t>Σ Equity Value</t>
  </si>
  <si>
    <t>÷ Shares Outstanding</t>
  </si>
  <si>
    <t>- Pensionsunterdeckung / Hybridkapital (oben enthalten)</t>
  </si>
  <si>
    <t>Price Target (per Share)</t>
  </si>
  <si>
    <t>TOCHTER-BETEILIGUNGEN (importiert aus Tochter-SOTP)</t>
  </si>
  <si>
    <t>Tochter / Ticker</t>
  </si>
  <si>
    <t>T-Mobile US (TMUS)</t>
  </si>
  <si>
    <t>Quell-Run (Tochter-SOTP)</t>
  </si>
  <si>
    <t>2026-08-18_run3</t>
  </si>
  <si>
    <t>Währung Tochter</t>
  </si>
  <si>
    <t>USD</t>
  </si>
  <si>
    <t>FX (Konzern je Tochter-Whg.)</t>
  </si>
  <si>
    <t>EV Tochter (SOTP, Base)</t>
  </si>
  <si>
    <t>− Netto-Schulden Tochter</t>
  </si>
  <si>
    <t>Eigenkapitalwert Tochter (EV − Netto-Schulden)</t>
  </si>
  <si>
    <t>× Anteil Mutter</t>
  </si>
  <si>
    <t>Mutter-Anteil, Tochter-Whg. (EK × Anteil)</t>
  </si>
  <si>
    <t>Mutter-Anteil EUR (× FX × (1+Case-FX)) → Bridge-Zeile ± Töchter</t>
  </si>
  <si>
    <t>Netto-Schuld Tochter (EUR, Spot) → Net-Debt-Zeile</t>
  </si>
  <si>
    <t>── Annahmen des Tochter-Runs (nachrichtlich) ──</t>
  </si>
  <si>
    <t>Revenue-CAGR (Base, umsatzgew.)</t>
  </si>
  <si>
    <t>6.8%</t>
  </si>
  <si>
    <t>EBIT-Marge Y1 → Y5 (Base, umsatzgew.)</t>
  </si>
  <si>
    <t>21.3% → 23.5%</t>
  </si>
  <si>
    <t>Terminal Growth (Base, umsatzgew.)</t>
  </si>
  <si>
    <t>2.5%</t>
  </si>
  <si>
    <t>WACC Tochter-Run</t>
  </si>
  <si>
    <t>7.2%</t>
  </si>
  <si>
    <t>PT Tochter (Base) × Aktien = EK oben</t>
  </si>
  <si>
    <t>192.59 × 1,106.9M Aktien = 213,184m USD</t>
  </si>
  <si>
    <t>FX-Sensitivität: ±10 % Wechselkurs = ± je Aktie</t>
  </si>
  <si>
    <t>FX-Bewegung im Case (Base; − = Tochter-Whg. wertet ab)</t>
  </si>
  <si>
    <t>SOTP DCF [Bull] — Segment-Level Forecast + Group-Aggregation</t>
  </si>
  <si>
    <t>Bull: +1.0 pp Glasfaser-Take-up beschleunigt sich stärker als erwartet (verbesserte Homes-Connected-Rate) und Mobilfunk-ARPU wächst durch 5G-Premiumtarife stärker: CAGR steigt auf ca. 2,3%. | ewiges Wachstum +0.5 pp aus der Standard-Spreizung</t>
  </si>
  <si>
    <t>Bull: +1.2 pp IT-/Digitalgeschäft (Griechenland, Kroatien) und FMC-Konvergenzangebote wachsen schneller als erwartet: organisches Wachstum steigt auf ca. 4,0%. | ewiges Wachstum +0.5 pp aus der Standard-Spreizung</t>
  </si>
  <si>
    <t>Bull: +1.8 pp aus der Standard-Spreizung (Beta 1.55, Netto-Schuld/EBITDA 3.8x, Korrelationsfaktor 0.90) — kein benannter Treiber, also keine eigene These fuer dieses Segment.</t>
  </si>
  <si>
    <t>Bull: +1.5 pp Digitalisierungs- und Automatisierungsprogramme heben die Kosteneffizienz stärker als geplant (geringere Vertriebs-/Servicekosten): Terminal-Marge steigt auf ca. 28%. | Marge Y1 +1.8 pp aus der Standard-Spreizung</t>
  </si>
  <si>
    <t>Bull: +2.0 pp Der dokumentierte Nettomarge-Trend (16,7%→18,2%→19,7%) setzt sich unvermindert mit ca. +1,5pp/Jahr fort statt sich abzuschwächen: Terminal-Marge erreicht ca. 24,5%. | Marge Y1 +1.8 pp aus der Standard-Spreizung</t>
  </si>
  <si>
    <t>Bull: +3.6 pp aus der Standard-Spreizung (Beta 1.55, Netto-Schuld/EBITDA 3.8x, Korrelationsfaktor 0.90) — kein benannter Treiber, also keine eigene These fuer dieses Segment.</t>
  </si>
  <si>
    <t>EV Tochter (SOTP, Bull)</t>
  </si>
  <si>
    <t>PT Tochter (Bull) × Aktien = EK oben</t>
  </si>
  <si>
    <t>263.21 × 1,106.9M Aktien = 291,355m USD</t>
  </si>
  <si>
    <t>FX-Bewegung im Case (Bull; − = Tochter-Whg. wertet ab)</t>
  </si>
  <si>
    <t>SOTP DCF [Bear] — Segment-Level Forecast + Group-Aggregation</t>
  </si>
  <si>
    <t>Bear: -1.0 pp Anhaltend hoher Wettbewerbsdruck im Mobilfunk (Preisdynamik) und stagnierender Breitband-Markt drücken den Umsatz auf ca. 0,3% CAGR. | ewiges Wachstum -0.7 pp aus der Standard-Spreizung</t>
  </si>
  <si>
    <t>Bear: -1.5 pp Regulatorischer Druck (Ungarn Sondergewinnsteuer-Risiko) und Nachwirkungen des Rumänien-Exits drücken das Wachstum auf ca. 1,3%. | ewiges Wachstum -0.7 pp aus der Standard-Spreizung</t>
  </si>
  <si>
    <t>Bear: -1.8 pp aus der Standard-Spreizung (Beta 1.55, Netto-Schuld/EBITDA 3.8x, Korrelationsfaktor 0.90) — kein benannter Treiber, also keine eigene These fuer dieses Segment.</t>
  </si>
  <si>
    <t>Bear: -1.5 pp Der sozialverträgliche Personalumbau bleibt kostenintensiver als geplant und Glasfaser-Abschreibungen steigen mit den Ausbaumengen: Terminal-Marge fällt auf ca. 25%. | Marge Y1 -2.3 pp aus der Standard-Spreizung</t>
  </si>
  <si>
    <t>Bear: -2.5 pp Wettbewerbsintensität in Polen und Tschechien erodiert die Nettomarge-Verbesserung, Terminal-Marge stagniert bei ca. 20%. | Marge Y1 -2.3 pp aus der Standard-Spreizung</t>
  </si>
  <si>
    <t>Bear: -4.1 pp aus der Standard-Spreizung (Beta 1.55, Netto-Schuld/EBITDA 3.8x, Korrelationsfaktor 0.90) — kein benannter Treiber, also keine eigene These fuer dieses Segment.</t>
  </si>
  <si>
    <t>EV Tochter (SOTP, Bear)</t>
  </si>
  <si>
    <t>PT Tochter (Bear) × Aktien = EK oben</t>
  </si>
  <si>
    <t>120.03 × 1,106.9M Aktien = 132,865m USD</t>
  </si>
  <si>
    <t>FX-Bewegung im Case (Bear; − = Tochter-Whg. wertet ab)</t>
  </si>
  <si>
    <t>SOTP — Binary Adjustments (Post-DCF)</t>
  </si>
  <si>
    <t>Einmal-Ereignisse: Litigation, M&amp;A, Restrukturierungen. Litigation IMMER negativ (Litigation-Sign-Lock). Netto = EV-Impact × Probability.</t>
  </si>
  <si>
    <t>Writer befüllt aus analysis.binary_adjustments.</t>
  </si>
  <si>
    <t>Name</t>
  </si>
  <si>
    <t>EV-Impact (Mio.)</t>
  </si>
  <si>
    <t>Probability</t>
  </si>
  <si>
    <t>Netto-EV (Mio.)</t>
  </si>
  <si>
    <t>Beschreibung / Evidenz</t>
  </si>
  <si>
    <t>Kabelentgelt-Klagen VDG/Vodafone West</t>
  </si>
  <si>
    <t>VDG beziffert Klageanträge auf ca. 980 Mio.€ zzgl. Zinsen (Jan. 2012-Dez. 2024), Vodafone West auf ca. 538 Mio.€ zzgl. Zinsen (Jan. 2016-Apr. 2024) nach Zurückverweisung durch den BGH an die Oberlandesgerichte. Finanzielle Auswirkung laut Bericht derzeit nicht verlässlich schätzbar.</t>
  </si>
  <si>
    <t>T-Mobile US Sammelklagen (Sprint-Fusion, Aktionärsvergütung, Cyberangriff Jan. 2023)</t>
  </si>
  <si>
    <t>Mehrere anhängige Aktionärs- und Verbrauchersammelklagen (Delaware Court of Chancery: Sprint-Fusion-Kaufpreisanpassung, Aktienrückkaufprogramme 2022-2024) sowie Sammelklagen im Zusammenhang mit dem API-Cyberangriff Januar 2023 (ca. 37 Mio. betroffene Konten). Finanzielle Risiken laut Bericht derzeit nicht verlässlich schätzbar.</t>
  </si>
  <si>
    <t>Netto gesamt (Mio.)</t>
  </si>
  <si>
    <t>Netto pro Aktie</t>
  </si>
  <si>
    <t>SOTP — Bull/Base/Bear-Szenarien</t>
  </si>
  <si>
    <t>Pro Case ein eigenständiges DCF-Sheet (DCF Bull/Base/Bear). Die Group-PTs unten referenzieren diese Sheets LIVE — jeder Case ist segment-genau nachrechenbar.</t>
  </si>
  <si>
    <t>── Segment-Annahmen (pro Case) ──</t>
  </si>
  <si>
    <t>Segment</t>
  </si>
  <si>
    <t>CAGR Bull</t>
  </si>
  <si>
    <t>CAGR Base</t>
  </si>
  <si>
    <t>CAGR Bear</t>
  </si>
  <si>
    <t>Marge Y1 Bull</t>
  </si>
  <si>
    <t>Marge Y1 Base</t>
  </si>
  <si>
    <t>Marge Y1 Bear</t>
  </si>
  <si>
    <t>TG Bull</t>
  </si>
  <si>
    <t>TG Base</t>
  </si>
  <si>
    <t>TG Bear</t>
  </si>
  <si>
    <t>β_lev</t>
  </si>
  <si>
    <t>Δ Marge (pp)</t>
  </si>
  <si>
    <t>USA → TOCHTER-IMPORT (Cases aus Tochter-SOTP, s. DCF-Sheets Zeile 124)</t>
  </si>
  <si>
    <t>── Group Kursziele (live aus DCF-Sheets) ──</t>
  </si>
  <si>
    <t>Szenario</t>
  </si>
  <si>
    <t>PT roh (€/Aktie)</t>
  </si>
  <si>
    <t>Wahrscheinlichkeit</t>
  </si>
  <si>
    <t>Quelle</t>
  </si>
  <si>
    <t>PT nach Floor (≥0)</t>
  </si>
  <si>
    <t>Bull</t>
  </si>
  <si>
    <t>'DCF Bull'!K122</t>
  </si>
  <si>
    <t>Base</t>
  </si>
  <si>
    <t>'DCF Base'!K122</t>
  </si>
  <si>
    <t>Bear</t>
  </si>
  <si>
    <t>'DCF Bear'!K122</t>
  </si>
  <si>
    <t>#0a: Cases fließen ROH in die Gewichtung (Spalte B — ein negativer Bear trägt sein Downside); Floor (≥0) nur auf dem Aggregat. Spalte E = Anzeige je realisiertem Case.</t>
  </si>
  <si>
    <t>Gewichtetes Kursziel (Headline)</t>
  </si>
  <si>
    <t>Rohwert (vor 0-Floor):</t>
  </si>
  <si>
    <t>Sentiment (Wahrscheinlichkeits-Quelle)</t>
  </si>
  <si>
    <t>neutral</t>
  </si>
  <si>
    <t>Markt-implizit — Was muss passieren, damit der Kurs fair value ist?</t>
  </si>
  <si>
    <t>REIN ERKLÄREND, keine Bewertung. Kalibrierter Group-DCF: Base = Headline-PT (exakt), jede Hebel-Spalte = Marktpreis (exakt). Vereinfachte Group-Sicht; volle Segment-Granularität in den DCF-Sheets.</t>
  </si>
  <si>
    <t>Aktueller Kurs (Markt)</t>
  </si>
  <si>
    <t>Intrinsisch (Headline-PT)</t>
  </si>
  <si>
    <t>Divergenz (intrinsisch vs Markt)</t>
  </si>
  <si>
    <t>Note-Absatz (|Divergenz| &gt; 25%)</t>
  </si>
  <si>
    <t>nein — Note bleibt still (Hebel unten trotzdem gerechnet)</t>
  </si>
  <si>
    <t>Hebel erreichbar?</t>
  </si>
  <si>
    <t>ja</t>
  </si>
  <si>
    <t>Impl. CAGR</t>
  </si>
  <si>
    <t>Impl. Marge</t>
  </si>
  <si>
    <t>Impl. WACC</t>
  </si>
  <si>
    <t>Group-Revenue Y0 (Mio.)</t>
  </si>
  <si>
    <t>Revenue-CAGR</t>
  </si>
  <si>
    <t>EBIT-Marge Y1</t>
  </si>
  <si>
    <t>Terminal-Marge (Y5)</t>
  </si>
  <si>
    <t>Net-Capex / Revenue</t>
  </si>
  <si>
    <t>WACC (Diskontierung)</t>
  </si>
  <si>
    <t>Steuersatz</t>
  </si>
  <si>
    <t>+ Aggregations-Bridge (Mio.)</t>
  </si>
  <si>
    <t>+ Bilanz/Overhead/CF/Binary/Szen. (Mio.)</t>
  </si>
  <si>
    <t>Aktien (Mio.)</t>
  </si>
  <si>
    <t>Revenue Y1</t>
  </si>
  <si>
    <t>Revenue Y2</t>
  </si>
  <si>
    <t>Revenue Y3</t>
  </si>
  <si>
    <t>Revenue Y4</t>
  </si>
  <si>
    <t>Revenue Y5</t>
  </si>
  <si>
    <t>Revenue Y6</t>
  </si>
  <si>
    <t>Revenue Y7</t>
  </si>
  <si>
    <t>Revenue Y8</t>
  </si>
  <si>
    <t>Revenue Y9</t>
  </si>
  <si>
    <t>Revenue Y10</t>
  </si>
  <si>
    <t>FCF Y1</t>
  </si>
  <si>
    <t>FCF Y2</t>
  </si>
  <si>
    <t>FCF Y3</t>
  </si>
  <si>
    <t>FCF Y4</t>
  </si>
  <si>
    <t>FCF Y5</t>
  </si>
  <si>
    <t>FCF Y6</t>
  </si>
  <si>
    <t>FCF Y7</t>
  </si>
  <si>
    <t>FCF Y8</t>
  </si>
  <si>
    <t>FCF Y9</t>
  </si>
  <si>
    <t>FCF Y10</t>
  </si>
  <si>
    <t>Group-DCF-EV</t>
  </si>
  <si>
    <t>Equity (EV + Bridges)</t>
  </si>
  <si>
    <t>Kursziel / Aktie</t>
  </si>
  <si>
    <t>PT − Ziel (Base=Headline, Hebel=Markt ⇒ ≈0)</t>
  </si>
  <si>
    <t>── Handels-Multiples (Yahoo Finance) — Kontext, KEINE Bewertung ──</t>
  </si>
  <si>
    <t>EV/Sales (primär — SBC-agnostisch)</t>
  </si>
  <si>
    <t>EV/EBITDA (nachrichtl., SBC-verzerrt)</t>
  </si>
  <si>
    <t>KGV trailing (nachrichtl., SBC-verzerrt)</t>
  </si>
  <si>
    <t>KGV forward</t>
  </si>
  <si>
    <t>Kurs/Buchwert</t>
  </si>
  <si>
    <t>EV/Sales-Historie (~5J, indikativ; split-bereinigt)</t>
  </si>
  <si>
    <t>Jahr</t>
  </si>
  <si>
    <t>EV/Sales</t>
  </si>
  <si>
    <t>── EV/EBITDA: Markt heute vs unser Kursziel vs 5J-Eigenhistorie — deskriptiv, KEIN Kursziel ──</t>
  </si>
  <si>
    <t>EV am Marktpreis (Group, Mio.)</t>
  </si>
  <si>
    <t>EV an unserem Kursziel (Group, Mio.)</t>
  </si>
  <si>
    <t>Group-EBITDA trailing (Mio.)</t>
  </si>
  <si>
    <t>Group-EBITDA t+1 (unsere Y1-Schätzung, Mio.)</t>
  </si>
  <si>
    <t>EV/EBITDA — Markt heute (trailing)</t>
  </si>
  <si>
    <t>EV/EBITDA — unser Kursziel (trailing)</t>
  </si>
  <si>
    <t>EV/EBITDA — Markt heute (t+1)</t>
  </si>
  <si>
    <t>EV/EBITDA — unser Kursziel (t+1)</t>
  </si>
  <si>
    <t>Eigene 5J-EV/EBITDA-Spanne (indikativ) — Anker für die Einordnung</t>
  </si>
  <si>
    <t>5J Minimum</t>
  </si>
  <si>
    <t>5J Median</t>
  </si>
  <si>
    <t>5J Maximum</t>
  </si>
  <si>
    <t>Markt vs unsere Annahmen</t>
  </si>
  <si>
    <t>Markt ≈ unsere Annahmen</t>
  </si>
  <si>
    <t>Einordnung</t>
  </si>
  <si>
    <t>Der Markt zahlt heute rund 7.2x EV/EBITDA (trailing). Unser Kursziel entspricht rund 7.7x auf dem heutigen EBITDA (gleiche Basis, direkt mit der eigenen Historie vergleichbar). Das Markt-Niveau liegt im oberen Bereich der eigenen 5J-Spanne (5.3x bis 5.6x). Markt und unser Kursziel implizieren ein nahezu gleiches Multiple. Achtung: das trailing Multiple ist durch ein gedrücktes EBITDA-Jahr (Trog) rechnerisch überhöht, nicht durch einen Bewertungsaufschlag. Auf unserer Ergebnisschätzung für das kommende Jahr (t+1) entspricht das Kursziel rund 6.4x, der Markt 6.0x (anderer Nenner, nicht mit der Historie vergleichbar). Die Peer-Gruppe handelt bei 7.5–11.4x (Median 7.7x, trailing).</t>
  </si>
  <si>
    <t>── Peer-Gruppe: β-Herleitung (3J-Regression, Blume, unlevered) + Multiples-Band — deskriptiv ──</t>
  </si>
  <si>
    <t>β unlevered — Peer-Median (im WACC verwendet)</t>
  </si>
  <si>
    <t>Peer EV/EBITDA min / median / max (trailing)</t>
  </si>
  <si>
    <t>Peer</t>
  </si>
  <si>
    <t>β unlev</t>
  </si>
  <si>
    <t>β lev</t>
  </si>
  <si>
    <t>D/E (Markt)</t>
  </si>
  <si>
    <t>EV/EBITDA</t>
  </si>
  <si>
    <t>VZ</t>
  </si>
  <si>
    <t>T</t>
  </si>
  <si>
    <t>ORA.PA</t>
  </si>
  <si>
    <t>VOD.L</t>
  </si>
  <si>
    <t>SCMN.SW</t>
  </si>
  <si>
    <t>Named-Range Targets (für sotp_valuation.py)</t>
  </si>
  <si>
    <t>Diese Sheet ist nur ein Index — die echten Werte stehen in Inputs/DCF.</t>
  </si>
  <si>
    <t>OUT_WACC (EV-weighted avg)</t>
  </si>
  <si>
    <t>'DCF Base'!K110</t>
  </si>
  <si>
    <t>OUT_NET_DEBT</t>
  </si>
  <si>
    <t>Inputs!B14</t>
  </si>
  <si>
    <t>OUT_MINORITY</t>
  </si>
  <si>
    <t>Inputs!B15</t>
  </si>
  <si>
    <t>OUT_SHARES</t>
  </si>
  <si>
    <t>Inputs!B11</t>
  </si>
  <si>
    <t>OUT_GROUP_EV</t>
  </si>
  <si>
    <t>'DCF Base'!K109</t>
  </si>
  <si>
    <t>OUT_EQUITY</t>
  </si>
  <si>
    <t>'DCF Base'!K119</t>
  </si>
  <si>
    <t>OUT_PRICE_TARGET</t>
  </si>
  <si>
    <t>OUT_SEG_EV_i</t>
  </si>
  <si>
    <t>'DCF Base'!C..J109 (i=1..8)</t>
  </si>
  <si>
    <t>OUT_SEG_WACC_i</t>
  </si>
  <si>
    <t>'DCF Base'!C..J16 (i=1..8)</t>
  </si>
  <si>
    <t>— Szenario-PTs —</t>
  </si>
  <si>
    <t>(Szenarien-Sheet, live ref auf je DCF-Sheet)</t>
  </si>
  <si>
    <t>DCF Bull → PT</t>
  </si>
  <si>
    <t>DCF Base → PT</t>
  </si>
  <si>
    <t>DCF Bear →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</si>
</sst>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&quot;x&quot;"/>
    <numFmt numFmtId="166" formatCode="0.00&quot;x&quot;"/>
    <numFmt numFmtId="167" formatCode="0.0"/>
  </numFmts>
  <fonts count="11" x14ac:knownFonts="1">
    <font>
      <sz val="11"/>
      <color theme="1"/>
      <name val="Calibri"/>
      <family val="2"/>
      <scheme val="minor"/>
    </font>
    <font>
      <b/>
      <sz val="14"/>
      <name val="Calibri"/>
    </font>
    <font>
      <i/>
      <sz val="11"/>
      <color rgb="FF666666"/>
      <name val="Calibri"/>
    </font>
    <font>
      <b/>
      <sz val="11"/>
      <name val="Calibri"/>
    </font>
    <font>
      <i/>
      <sz val="11"/>
      <color rgb="FF886600"/>
      <name val="Calibri"/>
    </font>
    <font>
      <i/>
      <sz val="11"/>
      <color rgb="FFCC5500"/>
      <name val="Calibri"/>
    </font>
    <font>
      <i/>
      <sz val="9"/>
      <name val="Calibri"/>
    </font>
    <font>
      <b/>
      <sz val="12"/>
      <color rgb="FF0B5C2E"/>
      <name val="Calibri"/>
    </font>
    <font>
      <b/>
      <sz val="13"/>
      <name val="Calibri"/>
    </font>
    <font>
      <b/>
      <sz val="12"/>
      <name val="Calibri"/>
    </font>
    <font>
      <b/>
      <sz val="1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2A0"/>
      </patternFill>
    </fill>
    <fill>
      <patternFill patternType="solid">
        <fgColor rgb="FFDCE6F2"/>
      </patternFill>
    </fill>
    <fill>
      <patternFill patternType="solid">
        <fgColor rgb="FFC8E6C9"/>
      </patternFill>
    </fill>
    <fill>
      <patternFill patternType="solid">
        <fgColor rgb="FFFFE0B2"/>
      </patternFill>
    </fill>
    <fill>
      <patternFill patternType="solid">
        <fgColor rgb="FFFFF2A0"/>
      </patternFill>
    </fill>
    <fill>
      <patternFill patternType="solid">
        <fgColor rgb="FFDCE6F2"/>
      </patternFill>
    </fill>
    <fill>
      <patternFill patternType="solid">
        <fgColor rgb="FFE1BEE7"/>
      </patternFill>
    </fill>
  </fills>
  <borders count="3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2" fillId="0" borderId="0" xfId="0" applyFont="1"/>
    <xf numFmtId="0" fontId="0" fillId="2" borderId="0" xfId="0" applyFill="1"/>
    <xf numFmtId="0" fontId="3" fillId="0" borderId="0" xfId="0" applyFont="1"/>
    <xf numFmtId="4" fontId="0" fillId="3" borderId="1" xfId="0" applyNumberFormat="1" applyFill="1" applyBorder="1"/>
    <xf numFmtId="4" fontId="0" fillId="4" borderId="1" xfId="0" applyNumberFormat="1" applyFill="1" applyBorder="1"/>
    <xf numFmtId="10" fontId="0" fillId="3" borderId="1" xfId="0" applyNumberFormat="1" applyFill="1" applyBorder="1"/>
    <xf numFmtId="0" fontId="2" fillId="2" borderId="0" xfId="0" applyFont="1" applyFill="1"/>
    <xf numFmtId="2" fontId="0" fillId="3" borderId="1" xfId="0" applyNumberFormat="1" applyFill="1" applyBorder="1"/>
    <xf numFmtId="2" fontId="0" fillId="4" borderId="1" xfId="0" applyNumberFormat="1" applyFill="1" applyBorder="1"/>
    <xf numFmtId="10" fontId="0" fillId="4" borderId="1" xfId="0" applyNumberFormat="1" applyFill="1" applyBorder="1"/>
    <xf numFmtId="10" fontId="3" fillId="5" borderId="1" xfId="0" applyNumberFormat="1" applyFont="1" applyFill="1" applyBorder="1"/>
    <xf numFmtId="0" fontId="3" fillId="2" borderId="0" xfId="0" applyFont="1" applyFill="1" applyAlignment="1">
      <alignment horizontal="center"/>
    </xf>
    <xf numFmtId="0" fontId="0" fillId="3" borderId="1" xfId="0" applyFill="1" applyBorder="1" applyAlignment="1">
      <alignment horizontal="center"/>
    </xf>
    <xf numFmtId="10" fontId="0" fillId="2" borderId="1" xfId="0" applyNumberFormat="1" applyFill="1" applyBorder="1"/>
    <xf numFmtId="0" fontId="4" fillId="0" borderId="0" xfId="0" applyFont="1"/>
    <xf numFmtId="0" fontId="5" fillId="0" borderId="0" xfId="0" applyFont="1"/>
    <xf numFmtId="0" fontId="6" fillId="6" borderId="1" xfId="0" applyFont="1" applyFill="1" applyBorder="1" applyAlignment="1">
      <alignment horizontal="left" vertical="top" wrapText="1"/>
    </xf>
    <xf numFmtId="0" fontId="3" fillId="5" borderId="0" xfId="0" applyFont="1" applyFill="1"/>
    <xf numFmtId="4" fontId="3" fillId="5" borderId="1" xfId="0" applyNumberFormat="1" applyFont="1" applyFill="1" applyBorder="1"/>
    <xf numFmtId="4" fontId="0" fillId="0" borderId="1" xfId="0" applyNumberFormat="1" applyBorder="1"/>
    <xf numFmtId="4" fontId="7" fillId="5" borderId="1" xfId="0" applyNumberFormat="1" applyFont="1" applyFill="1" applyBorder="1"/>
    <xf numFmtId="0" fontId="3" fillId="2" borderId="1" xfId="0" applyFont="1" applyFill="1" applyBorder="1"/>
    <xf numFmtId="49" fontId="0" fillId="3" borderId="1" xfId="0" applyNumberFormat="1" applyFill="1" applyBorder="1"/>
    <xf numFmtId="49" fontId="0" fillId="3" borderId="1" xfId="0" applyNumberFormat="1" applyFill="1" applyBorder="1" applyAlignment="1">
      <alignment vertical="top" wrapText="1"/>
    </xf>
    <xf numFmtId="0" fontId="3" fillId="2" borderId="1" xfId="0" applyFont="1" applyFill="1" applyBorder="1" applyAlignment="1">
      <alignment horizontal="center" wrapText="1"/>
    </xf>
    <xf numFmtId="0" fontId="0" fillId="0" borderId="1" xfId="0" applyBorder="1"/>
    <xf numFmtId="0" fontId="2" fillId="0" borderId="1" xfId="0" applyFont="1" applyBorder="1"/>
    <xf numFmtId="0" fontId="8" fillId="0" borderId="0" xfId="0" applyFont="1"/>
    <xf numFmtId="164" fontId="0" fillId="4" borderId="1" xfId="0" applyNumberFormat="1" applyFill="1" applyBorder="1"/>
    <xf numFmtId="0" fontId="0" fillId="4" borderId="0" xfId="0" applyFill="1"/>
    <xf numFmtId="0" fontId="3" fillId="2" borderId="0" xfId="0" applyFont="1" applyFill="1"/>
    <xf numFmtId="4" fontId="0" fillId="5" borderId="1" xfId="0" applyNumberFormat="1" applyFill="1" applyBorder="1"/>
    <xf numFmtId="165" fontId="0" fillId="5" borderId="1" xfId="0" applyNumberFormat="1" applyFill="1" applyBorder="1"/>
    <xf numFmtId="0" fontId="9" fillId="0" borderId="0" xfId="0" applyFont="1"/>
    <xf numFmtId="0" fontId="6" fillId="6" borderId="1" xfId="0" applyFont="1" applyFill="1" applyBorder="1" applyAlignment="1">
      <alignment vertical="top" wrapText="1"/>
    </xf>
    <xf numFmtId="0" fontId="10" fillId="0" borderId="2" xfId="0" applyFon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4" fontId="0" fillId="0" borderId="2" xfId="0" applyNumberFormat="1" applyBorder="1" applyAlignment="1">
      <alignment horizontal="center"/>
    </xf>
    <xf numFmtId="164" fontId="0" fillId="7" borderId="2" xfId="0" applyNumberFormat="1" applyFill="1" applyBorder="1" applyAlignment="1">
      <alignment horizontal="center"/>
    </xf>
    <xf numFmtId="0" fontId="0" fillId="8" borderId="2" xfId="0" applyFill="1" applyBorder="1"/>
    <xf numFmtId="4" fontId="0" fillId="3" borderId="2" xfId="0" applyNumberFormat="1" applyFill="1" applyBorder="1"/>
    <xf numFmtId="0" fontId="0" fillId="4" borderId="2" xfId="0" applyFill="1" applyBorder="1"/>
    <xf numFmtId="3" fontId="0" fillId="3" borderId="2" xfId="0" applyNumberFormat="1" applyFill="1" applyBorder="1"/>
    <xf numFmtId="10" fontId="0" fillId="3" borderId="2" xfId="0" applyNumberFormat="1" applyFill="1" applyBorder="1"/>
    <xf numFmtId="10" fontId="0" fillId="7" borderId="2" xfId="0" applyNumberFormat="1" applyFill="1" applyBorder="1"/>
    <xf numFmtId="166" fontId="0" fillId="4" borderId="2" xfId="0" applyNumberFormat="1" applyFill="1" applyBorder="1"/>
    <xf numFmtId="165" fontId="0" fillId="4" borderId="2" xfId="0" applyNumberFormat="1" applyFill="1" applyBorder="1"/>
    <xf numFmtId="167" fontId="0" fillId="4" borderId="2" xfId="0" applyNumberFormat="1" applyFill="1" applyBorder="1"/>
    <xf numFmtId="0" fontId="0" fillId="0" borderId="2" xfId="0" applyBorder="1"/>
    <xf numFmtId="166" fontId="0" fillId="0" borderId="2" xfId="0" applyNumberFormat="1" applyBorder="1"/>
    <xf numFmtId="3" fontId="0" fillId="4" borderId="2" xfId="0" applyNumberFormat="1" applyFill="1" applyBorder="1"/>
    <xf numFmtId="0" fontId="0" fillId="5" borderId="2" xfId="0" applyFill="1" applyBorder="1"/>
    <xf numFmtId="2" fontId="0" fillId="5" borderId="2" xfId="0" applyNumberFormat="1" applyFill="1" applyBorder="1"/>
    <xf numFmtId="2" fontId="0" fillId="0" borderId="2" xfId="0" applyNumberFormat="1" applyBorder="1"/>
    <xf numFmtId="165" fontId="0" fillId="0" borderId="2" xfId="0" applyNumberFormat="1" applyBorder="1"/>
    <xf numFmtId="4" fontId="0" fillId="9" borderId="1" xfId="0" applyNumberFormat="1" applyFill="1" applyBorder="1"/>
    <xf numFmtId="10" fontId="0" fillId="9" borderId="1" xfId="0" applyNumberForma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2"/>
  <sheetViews>
    <sheetView tabSelected="1" workbookViewId="0"/>
  </sheetViews>
  <sheetFormatPr baseColWidth="10" defaultColWidth="9.140625" defaultRowHeight="15" x14ac:dyDescent="0.25"/>
  <cols>
    <col min="1" max="1" width="32" customWidth="1"/>
    <col min="2" max="2" width="18" customWidth="1"/>
    <col min="3" max="3" width="60" customWidth="1"/>
  </cols>
  <sheetData>
    <row r="1" spans="1:2" ht="18.75" customHeight="1" x14ac:dyDescent="0.3">
      <c r="A1" s="1" t="s">
        <v>0</v>
      </c>
    </row>
    <row r="2" spans="1:2" x14ac:dyDescent="0.25">
      <c r="A2" s="2" t="s">
        <v>1</v>
      </c>
    </row>
    <row r="4" spans="1:2" x14ac:dyDescent="0.25">
      <c r="A4" s="3" t="s">
        <v>2</v>
      </c>
    </row>
    <row r="5" spans="1:2" x14ac:dyDescent="0.25">
      <c r="A5" s="4" t="s">
        <v>3</v>
      </c>
      <c r="B5" t="s">
        <v>4</v>
      </c>
    </row>
    <row r="6" spans="1:2" x14ac:dyDescent="0.25">
      <c r="A6" s="4" t="s">
        <v>5</v>
      </c>
      <c r="B6" t="s">
        <v>6</v>
      </c>
    </row>
    <row r="7" spans="1:2" x14ac:dyDescent="0.25">
      <c r="A7" s="4" t="s">
        <v>7</v>
      </c>
      <c r="B7" t="s">
        <v>8</v>
      </c>
    </row>
    <row r="8" spans="1:2" x14ac:dyDescent="0.25">
      <c r="A8" s="4" t="s">
        <v>9</v>
      </c>
      <c r="B8" t="s">
        <v>10</v>
      </c>
    </row>
    <row r="10" spans="1:2" x14ac:dyDescent="0.25">
      <c r="A10" s="3" t="s">
        <v>11</v>
      </c>
    </row>
    <row r="11" spans="1:2" x14ac:dyDescent="0.25">
      <c r="A11" s="4" t="s">
        <v>12</v>
      </c>
      <c r="B11" s="5">
        <v>4871</v>
      </c>
    </row>
    <row r="12" spans="1:2" x14ac:dyDescent="0.25">
      <c r="A12" s="4" t="s">
        <v>13</v>
      </c>
      <c r="B12" s="5">
        <v>7818</v>
      </c>
    </row>
    <row r="13" spans="1:2" x14ac:dyDescent="0.25">
      <c r="A13" s="4" t="s">
        <v>14</v>
      </c>
      <c r="B13" s="57">
        <v>110152</v>
      </c>
    </row>
    <row r="14" spans="1:2" x14ac:dyDescent="0.25">
      <c r="A14" s="4" t="s">
        <v>15</v>
      </c>
      <c r="B14" s="6">
        <f>B13-B12</f>
        <v>102334</v>
      </c>
    </row>
    <row r="15" spans="1:2" x14ac:dyDescent="0.25">
      <c r="A15" s="4" t="s">
        <v>16</v>
      </c>
      <c r="B15" s="5">
        <v>4490</v>
      </c>
    </row>
    <row r="17" spans="1:3" x14ac:dyDescent="0.25">
      <c r="A17" s="3" t="s">
        <v>17</v>
      </c>
      <c r="C17" s="2" t="s">
        <v>18</v>
      </c>
    </row>
    <row r="18" spans="1:3" x14ac:dyDescent="0.25">
      <c r="A18" s="4" t="s">
        <v>19</v>
      </c>
      <c r="B18" s="7">
        <v>2.5000000000000001E-2</v>
      </c>
      <c r="C18" s="8" t="s">
        <v>20</v>
      </c>
    </row>
    <row r="19" spans="1:3" x14ac:dyDescent="0.25">
      <c r="A19" s="4" t="s">
        <v>21</v>
      </c>
      <c r="B19" s="7">
        <v>5.7226757936976277E-2</v>
      </c>
      <c r="C19" s="8" t="s">
        <v>22</v>
      </c>
    </row>
    <row r="20" spans="1:3" x14ac:dyDescent="0.25">
      <c r="A20" s="4" t="s">
        <v>23</v>
      </c>
      <c r="B20" s="9">
        <v>0.48699999999999999</v>
      </c>
      <c r="C20" s="8" t="s">
        <v>24</v>
      </c>
    </row>
    <row r="21" spans="1:3" x14ac:dyDescent="0.25">
      <c r="A21" s="4" t="s">
        <v>25</v>
      </c>
      <c r="B21" s="9">
        <v>0.79600000000000004</v>
      </c>
      <c r="C21" s="8" t="s">
        <v>26</v>
      </c>
    </row>
    <row r="22" spans="1:3" x14ac:dyDescent="0.25">
      <c r="A22" s="4" t="s">
        <v>27</v>
      </c>
      <c r="B22" s="7">
        <v>0.25700000000000001</v>
      </c>
      <c r="C22" s="8" t="s">
        <v>28</v>
      </c>
    </row>
    <row r="23" spans="1:3" x14ac:dyDescent="0.25">
      <c r="A23" s="4" t="s">
        <v>29</v>
      </c>
      <c r="B23" s="10">
        <f>(1-0.33)*(B20*(1+(1-B22)*B21))+0.33</f>
        <v>0.84926704211999993</v>
      </c>
    </row>
    <row r="24" spans="1:3" x14ac:dyDescent="0.25">
      <c r="A24" s="4" t="s">
        <v>30</v>
      </c>
      <c r="B24" s="7">
        <v>1E-3</v>
      </c>
      <c r="C24" s="8" t="s">
        <v>31</v>
      </c>
    </row>
    <row r="25" spans="1:3" x14ac:dyDescent="0.25">
      <c r="A25" s="4" t="s">
        <v>32</v>
      </c>
      <c r="B25" s="7">
        <v>0</v>
      </c>
      <c r="C25" s="8" t="s">
        <v>33</v>
      </c>
    </row>
    <row r="26" spans="1:3" x14ac:dyDescent="0.25">
      <c r="A26" s="4" t="s">
        <v>34</v>
      </c>
      <c r="B26" s="11">
        <f>MAX(B18+B23*B19+B24+B25+B39,MIN(B27,0.08)+0.025)</f>
        <v>7.4600799443253069E-2</v>
      </c>
    </row>
    <row r="27" spans="1:3" x14ac:dyDescent="0.25">
      <c r="A27" s="4" t="s">
        <v>35</v>
      </c>
      <c r="B27" s="7">
        <v>4.2000000000000003E-2</v>
      </c>
      <c r="C27" s="8" t="s">
        <v>36</v>
      </c>
    </row>
    <row r="28" spans="1:3" x14ac:dyDescent="0.25">
      <c r="A28" s="4" t="s">
        <v>37</v>
      </c>
      <c r="B28" s="11">
        <f>B27*(1-B22)</f>
        <v>3.1206000000000001E-2</v>
      </c>
    </row>
    <row r="29" spans="1:3" x14ac:dyDescent="0.25">
      <c r="A29" s="4" t="s">
        <v>38</v>
      </c>
      <c r="B29" s="11">
        <f>1/(1+B21)</f>
        <v>0.55679287305122493</v>
      </c>
    </row>
    <row r="30" spans="1:3" x14ac:dyDescent="0.25">
      <c r="A30" s="4" t="s">
        <v>39</v>
      </c>
      <c r="B30" s="11">
        <f>B21/(1+B21)</f>
        <v>0.44320712694877507</v>
      </c>
    </row>
    <row r="31" spans="1:3" x14ac:dyDescent="0.25">
      <c r="A31" s="4" t="s">
        <v>40</v>
      </c>
      <c r="B31" s="12">
        <f>MAX(B26*B29+B28*B30,B35)</f>
        <v>5.5367915057490572E-2</v>
      </c>
    </row>
    <row r="32" spans="1:3" x14ac:dyDescent="0.25">
      <c r="A32" s="3" t="s">
        <v>41</v>
      </c>
    </row>
    <row r="33" spans="1:3" x14ac:dyDescent="0.25">
      <c r="A33" s="4" t="s">
        <v>42</v>
      </c>
      <c r="B33" s="7">
        <v>0.02</v>
      </c>
    </row>
    <row r="34" spans="1:3" x14ac:dyDescent="0.25">
      <c r="A34" s="4" t="s">
        <v>43</v>
      </c>
      <c r="B34" s="7">
        <v>0.01</v>
      </c>
    </row>
    <row r="35" spans="1:3" x14ac:dyDescent="0.25">
      <c r="A35" s="4" t="s">
        <v>44</v>
      </c>
      <c r="B35" s="7">
        <v>0</v>
      </c>
      <c r="C35" s="8" t="s">
        <v>45</v>
      </c>
    </row>
    <row r="36" spans="1:3" x14ac:dyDescent="0.25">
      <c r="A36" s="4" t="s">
        <v>46</v>
      </c>
      <c r="B36" s="7">
        <v>0.41420000000000001</v>
      </c>
      <c r="C36" s="8" t="s">
        <v>47</v>
      </c>
    </row>
    <row r="37" spans="1:3" x14ac:dyDescent="0.25">
      <c r="A37" s="4" t="s">
        <v>48</v>
      </c>
      <c r="B37" s="11">
        <f>B18+0.008+0.02*B36</f>
        <v>4.1284000000000001E-2</v>
      </c>
      <c r="C37" s="8" t="s">
        <v>49</v>
      </c>
    </row>
    <row r="38" spans="1:3" x14ac:dyDescent="0.25">
      <c r="A38" s="4" t="s">
        <v>50</v>
      </c>
      <c r="B38" s="11">
        <f>B37*(1-B22)</f>
        <v>3.0674012E-2</v>
      </c>
    </row>
    <row r="39" spans="1:3" x14ac:dyDescent="0.25">
      <c r="A39" s="4" t="s">
        <v>51</v>
      </c>
      <c r="B39" s="7">
        <v>0</v>
      </c>
      <c r="C39" s="8" t="s">
        <v>52</v>
      </c>
    </row>
    <row r="41" spans="1:3" x14ac:dyDescent="0.25">
      <c r="B41">
        <v>1671</v>
      </c>
      <c r="C41" t="s">
        <v>53</v>
      </c>
    </row>
    <row r="42" spans="1:3" x14ac:dyDescent="0.25">
      <c r="B42">
        <v>0</v>
      </c>
      <c r="C42" t="s">
        <v>54</v>
      </c>
    </row>
  </sheetData>
  <pageMargins left="0.75" right="0.75" top="1" bottom="1" header="0.5" footer="0.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43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55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67</v>
      </c>
      <c r="E4" s="14" t="s">
        <v>59</v>
      </c>
      <c r="F4" s="14" t="s">
        <v>60</v>
      </c>
      <c r="G4" s="14"/>
      <c r="H4" s="14"/>
      <c r="I4" s="14"/>
      <c r="J4" s="14"/>
    </row>
    <row r="5" spans="1:11" x14ac:dyDescent="0.25">
      <c r="A5" s="4" t="s">
        <v>68</v>
      </c>
      <c r="C5" s="5">
        <v>25610</v>
      </c>
      <c r="D5" s="5"/>
      <c r="E5" s="5">
        <v>12652</v>
      </c>
      <c r="F5" s="5">
        <v>4103</v>
      </c>
      <c r="G5" s="5"/>
      <c r="H5" s="5"/>
      <c r="I5" s="5"/>
      <c r="J5" s="5"/>
    </row>
    <row r="6" spans="1:11" x14ac:dyDescent="0.25">
      <c r="A6" s="4" t="s">
        <v>69</v>
      </c>
      <c r="C6" s="7">
        <v>1.2999999999999999E-2</v>
      </c>
      <c r="D6" s="58"/>
      <c r="E6" s="58">
        <v>2.1999999999999999E-2</v>
      </c>
      <c r="F6" s="7">
        <v>4.4999999999999998E-2</v>
      </c>
      <c r="G6" s="7"/>
      <c r="H6" s="7"/>
      <c r="I6" s="7"/>
      <c r="J6" s="7"/>
    </row>
    <row r="7" spans="1:11" x14ac:dyDescent="0.25">
      <c r="A7" s="4" t="s">
        <v>70</v>
      </c>
      <c r="C7" s="7">
        <v>0.25</v>
      </c>
      <c r="D7" s="7"/>
      <c r="E7" s="58">
        <v>0.215</v>
      </c>
      <c r="F7" s="7">
        <v>2.3E-2</v>
      </c>
      <c r="G7" s="7"/>
      <c r="H7" s="7"/>
      <c r="I7" s="7"/>
      <c r="J7" s="7"/>
    </row>
    <row r="8" spans="1:11" x14ac:dyDescent="0.25">
      <c r="A8" s="4" t="s">
        <v>71</v>
      </c>
      <c r="C8" s="15">
        <v>0.25</v>
      </c>
      <c r="D8" s="15"/>
      <c r="E8" s="15">
        <v>0.218</v>
      </c>
      <c r="F8" s="15">
        <v>2.3E-2</v>
      </c>
      <c r="G8" s="15"/>
      <c r="H8" s="15"/>
      <c r="I8" s="15"/>
      <c r="J8" s="15"/>
    </row>
    <row r="9" spans="1:11" x14ac:dyDescent="0.25">
      <c r="A9" s="4" t="s">
        <v>72</v>
      </c>
      <c r="C9" s="7">
        <v>0.26500000000000001</v>
      </c>
      <c r="D9" s="7"/>
      <c r="E9" s="58">
        <v>0.23499999999999999</v>
      </c>
      <c r="F9" s="7">
        <v>0.04</v>
      </c>
      <c r="G9" s="7"/>
      <c r="H9" s="7"/>
      <c r="I9" s="7"/>
      <c r="J9" s="7"/>
    </row>
    <row r="10" spans="1:11" x14ac:dyDescent="0.25">
      <c r="A10" s="4" t="s">
        <v>73</v>
      </c>
      <c r="C10" s="7">
        <v>0.19</v>
      </c>
      <c r="D10" s="7"/>
      <c r="E10" s="7">
        <v>0.16</v>
      </c>
      <c r="F10" s="7">
        <v>5.3999999999999999E-2</v>
      </c>
      <c r="G10" s="7"/>
      <c r="H10" s="7"/>
      <c r="I10" s="7"/>
      <c r="J10" s="7"/>
    </row>
    <row r="11" spans="1:11" x14ac:dyDescent="0.25">
      <c r="A11" s="4" t="s">
        <v>74</v>
      </c>
      <c r="C11" s="7">
        <v>0.17499999999999999</v>
      </c>
      <c r="D11" s="7"/>
      <c r="E11" s="7">
        <v>0.20599999999999999</v>
      </c>
      <c r="F11" s="7">
        <v>6.0999999999999999E-2</v>
      </c>
      <c r="G11" s="7"/>
      <c r="H11" s="7"/>
      <c r="I11" s="7"/>
      <c r="J11" s="7"/>
    </row>
    <row r="12" spans="1:11" x14ac:dyDescent="0.25">
      <c r="A12" s="4" t="s">
        <v>75</v>
      </c>
      <c r="C12" s="7">
        <v>1.4999999999999999E-2</v>
      </c>
      <c r="D12" s="7"/>
      <c r="E12" s="7">
        <v>0.02</v>
      </c>
      <c r="F12" s="7">
        <v>0.01</v>
      </c>
      <c r="G12" s="7"/>
      <c r="H12" s="7"/>
      <c r="I12" s="7"/>
      <c r="J12" s="7"/>
    </row>
    <row r="13" spans="1:11" x14ac:dyDescent="0.25">
      <c r="A13" s="4" t="s">
        <v>76</v>
      </c>
      <c r="C13" s="7">
        <v>1.2E-2</v>
      </c>
      <c r="D13" s="7"/>
      <c r="E13" s="7">
        <v>0.02</v>
      </c>
      <c r="F13" s="7">
        <v>0.02</v>
      </c>
      <c r="G13" s="7"/>
      <c r="H13" s="7"/>
      <c r="I13" s="7"/>
      <c r="J13" s="7"/>
    </row>
    <row r="14" spans="1:11" x14ac:dyDescent="0.25">
      <c r="A14" s="4" t="s">
        <v>77</v>
      </c>
      <c r="C14" s="9">
        <v>0.48699999999999999</v>
      </c>
      <c r="D14" s="9"/>
      <c r="E14" s="9">
        <v>0.48699999999999999</v>
      </c>
      <c r="F14" s="9">
        <v>0.97399999999999998</v>
      </c>
      <c r="G14" s="9"/>
      <c r="H14" s="9"/>
      <c r="I14" s="9"/>
      <c r="J14" s="9"/>
    </row>
    <row r="15" spans="1:11" x14ac:dyDescent="0.25">
      <c r="A15" s="4" t="s">
        <v>78</v>
      </c>
      <c r="C15" s="7">
        <v>0</v>
      </c>
      <c r="D15" s="7"/>
      <c r="E15" s="7">
        <v>0</v>
      </c>
      <c r="F15" s="7">
        <v>0</v>
      </c>
      <c r="G15" s="7"/>
      <c r="H15" s="7"/>
      <c r="I15" s="7"/>
      <c r="J15" s="7"/>
    </row>
    <row r="16" spans="1:11" x14ac:dyDescent="0.25">
      <c r="A16" s="4" t="s">
        <v>79</v>
      </c>
      <c r="C16" s="11">
        <f>MAX((MAX(Inputs!B18+((1-0.33)*C14*(1+(1-Inputs!B22)*Inputs!B21)+0.33)*Inputs!B19+IF(ISBLANK(C17),Inputs!B24,C17)+Inputs!B25+Inputs!B39,MIN(Inputs!B27,0.08)+0.025))*Inputs!B29+Inputs!B28*Inputs!B30,C15)</f>
        <v>5.5367915057490572E-2</v>
      </c>
      <c r="D16" s="11">
        <f>MAX((MAX(Inputs!B18+((1-0.33)*D14*(1+(1-Inputs!B22)*Inputs!B21)+0.33)*Inputs!B19+IF(ISBLANK(D17),Inputs!B24,D17)+Inputs!B25+Inputs!B39,MIN(Inputs!B27,0.08)+0.025))*Inputs!B29+Inputs!B28*Inputs!B30,D15)</f>
        <v>5.1135844097995549E-2</v>
      </c>
      <c r="E16" s="11">
        <f>MAX((MAX(Inputs!B18+((1-0.33)*E14*(1+(1-Inputs!B22)*Inputs!B21)+0.33)*Inputs!B19+IF(ISBLANK(E17),Inputs!B24,E17)+Inputs!B25+Inputs!B39,MIN(Inputs!B27,0.08)+0.025))*Inputs!B29+Inputs!B28*Inputs!B30,E15)</f>
        <v>5.8708672295797924E-2</v>
      </c>
      <c r="F16" s="11">
        <f>MAX((MAX(Inputs!B18+((1-0.33)*F14*(1+(1-Inputs!B22)*Inputs!B21)+0.33)*Inputs!B19+IF(ISBLANK(F17),Inputs!B24,F17)+Inputs!B25+Inputs!B39,MIN(Inputs!B27,0.08)+0.025))*Inputs!B29+Inputs!B28*Inputs!B30,F15)</f>
        <v>7.191355499293095E-2</v>
      </c>
      <c r="G16" s="11">
        <f>MAX((MAX(Inputs!B18+((1-0.33)*G14*(1+(1-Inputs!B22)*Inputs!B21)+0.33)*Inputs!B19+IF(ISBLANK(G17),Inputs!B24,G17)+Inputs!B25+Inputs!B39,MIN(Inputs!B27,0.08)+0.025))*Inputs!B29+Inputs!B28*Inputs!B30,G15)</f>
        <v>5.1135844097995549E-2</v>
      </c>
      <c r="H16" s="11">
        <f>MAX((MAX(Inputs!B18+((1-0.33)*H14*(1+(1-Inputs!B22)*Inputs!B21)+0.33)*Inputs!B19+IF(ISBLANK(H17),Inputs!B24,H17)+Inputs!B25+Inputs!B39,MIN(Inputs!B27,0.08)+0.025))*Inputs!B29+Inputs!B28*Inputs!B30,H15)</f>
        <v>5.1135844097995549E-2</v>
      </c>
      <c r="I16" s="11">
        <f>MAX((MAX(Inputs!B18+((1-0.33)*I14*(1+(1-Inputs!B22)*Inputs!B21)+0.33)*Inputs!B19+IF(ISBLANK(I17),Inputs!B24,I17)+Inputs!B25+Inputs!B39,MIN(Inputs!B27,0.08)+0.025))*Inputs!B29+Inputs!B28*Inputs!B30,I15)</f>
        <v>5.1135844097995549E-2</v>
      </c>
      <c r="J16" s="11">
        <f>MAX((MAX(Inputs!B18+((1-0.33)*J14*(1+(1-Inputs!B22)*Inputs!B21)+0.33)*Inputs!B19+IF(ISBLANK(J17),Inputs!B24,J17)+Inputs!B25+Inputs!B39,MIN(Inputs!B27,0.08)+0.025))*Inputs!B29+Inputs!B28*Inputs!B30,J15)</f>
        <v>5.1135844097995549E-2</v>
      </c>
    </row>
    <row r="17" spans="1:10" x14ac:dyDescent="0.25">
      <c r="A17" s="16" t="s">
        <v>80</v>
      </c>
      <c r="C17" s="7"/>
      <c r="D17" s="7"/>
      <c r="E17" s="7">
        <v>7.0000000000000001E-3</v>
      </c>
      <c r="F17" s="7"/>
      <c r="G17" s="7"/>
      <c r="H17" s="7"/>
      <c r="I17" s="7"/>
      <c r="J17" s="7"/>
    </row>
    <row r="18" spans="1:10" ht="39.950000000000003" customHeight="1" x14ac:dyDescent="0.25">
      <c r="A18" s="17" t="s">
        <v>81</v>
      </c>
      <c r="C18" s="18" t="s">
        <v>82</v>
      </c>
      <c r="D18" s="36" t="s">
        <v>83</v>
      </c>
      <c r="E18" s="18" t="s">
        <v>84</v>
      </c>
      <c r="F18" s="18" t="s">
        <v>85</v>
      </c>
      <c r="G18" s="18"/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87</v>
      </c>
      <c r="D19" s="18"/>
      <c r="E19" s="18" t="s">
        <v>88</v>
      </c>
      <c r="F19" s="18" t="s">
        <v>89</v>
      </c>
      <c r="G19" s="18"/>
      <c r="H19" s="18"/>
      <c r="I19" s="18"/>
      <c r="J19" s="18"/>
    </row>
    <row r="21" spans="1:10" x14ac:dyDescent="0.25">
      <c r="A21" s="4" t="s">
        <v>90</v>
      </c>
      <c r="C21" s="6">
        <f t="shared" ref="C21:J21" si="0">C5*(1+C6)^1</f>
        <v>25942.929999999997</v>
      </c>
      <c r="D21" s="6">
        <f t="shared" si="0"/>
        <v>0</v>
      </c>
      <c r="E21" s="6">
        <f t="shared" si="0"/>
        <v>12930.344000000001</v>
      </c>
      <c r="F21" s="6">
        <f t="shared" si="0"/>
        <v>4287.6349999999993</v>
      </c>
      <c r="G21" s="6">
        <f t="shared" si="0"/>
        <v>0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91</v>
      </c>
      <c r="C22" s="6">
        <f t="shared" ref="C22:J22" si="1">C5*(1+C6)^2</f>
        <v>26280.188089999996</v>
      </c>
      <c r="D22" s="6">
        <f t="shared" si="1"/>
        <v>0</v>
      </c>
      <c r="E22" s="6">
        <f t="shared" si="1"/>
        <v>13214.811567999999</v>
      </c>
      <c r="F22" s="6">
        <f t="shared" si="1"/>
        <v>4480.5785749999995</v>
      </c>
      <c r="G22" s="6">
        <f t="shared" si="1"/>
        <v>0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92</v>
      </c>
      <c r="C23" s="6">
        <f t="shared" ref="C23:J23" si="2">C5*(1+C6)^3</f>
        <v>26621.830535169996</v>
      </c>
      <c r="D23" s="6">
        <f t="shared" si="2"/>
        <v>0</v>
      </c>
      <c r="E23" s="6">
        <f t="shared" si="2"/>
        <v>13505.537422496</v>
      </c>
      <c r="F23" s="6">
        <f t="shared" si="2"/>
        <v>4682.2046108749992</v>
      </c>
      <c r="G23" s="6">
        <f t="shared" si="2"/>
        <v>0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93</v>
      </c>
      <c r="C24" s="6">
        <f t="shared" ref="C24:J24" si="3">C5*(1+C6)^4</f>
        <v>26967.914332127206</v>
      </c>
      <c r="D24" s="6">
        <f t="shared" si="3"/>
        <v>0</v>
      </c>
      <c r="E24" s="6">
        <f t="shared" si="3"/>
        <v>13802.659245790912</v>
      </c>
      <c r="F24" s="6">
        <f t="shared" si="3"/>
        <v>4892.9038183643725</v>
      </c>
      <c r="G24" s="6">
        <f t="shared" si="3"/>
        <v>0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94</v>
      </c>
      <c r="C25" s="6">
        <f t="shared" ref="C25:J25" si="4">C5*(1+C6)^5</f>
        <v>27318.497218444856</v>
      </c>
      <c r="D25" s="6">
        <f t="shared" si="4"/>
        <v>0</v>
      </c>
      <c r="E25" s="6">
        <f t="shared" si="4"/>
        <v>14106.317749198313</v>
      </c>
      <c r="F25" s="6">
        <f t="shared" si="4"/>
        <v>5113.0844901907694</v>
      </c>
      <c r="G25" s="6">
        <f t="shared" si="4"/>
        <v>0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95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96</v>
      </c>
      <c r="C27" s="11">
        <f t="shared" ref="C27:J27" si="5">IF(ISBLANK(C9),C7,C7+(C9-C7)*(0)/4)</f>
        <v>0.25</v>
      </c>
      <c r="D27" s="11">
        <f t="shared" si="5"/>
        <v>0</v>
      </c>
      <c r="E27" s="11">
        <f t="shared" si="5"/>
        <v>0.215</v>
      </c>
      <c r="F27" s="11">
        <f t="shared" si="5"/>
        <v>2.3E-2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97</v>
      </c>
      <c r="C28" s="11">
        <f t="shared" ref="C28:J28" si="6">IF(ISBLANK(C9),C7,C7+(C9-C7)*(1)/4)</f>
        <v>0.25375000000000003</v>
      </c>
      <c r="D28" s="11">
        <f t="shared" si="6"/>
        <v>0</v>
      </c>
      <c r="E28" s="11">
        <f t="shared" si="6"/>
        <v>0.22</v>
      </c>
      <c r="F28" s="11">
        <f t="shared" si="6"/>
        <v>2.725E-2</v>
      </c>
      <c r="G28" s="11">
        <f t="shared" si="6"/>
        <v>0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98</v>
      </c>
      <c r="C29" s="11">
        <f t="shared" ref="C29:J29" si="7">IF(ISBLANK(C9),C7,C7+(C9-C7)*(2)/4)</f>
        <v>0.25750000000000001</v>
      </c>
      <c r="D29" s="11">
        <f t="shared" si="7"/>
        <v>0</v>
      </c>
      <c r="E29" s="11">
        <f t="shared" si="7"/>
        <v>0.22499999999999998</v>
      </c>
      <c r="F29" s="11">
        <f t="shared" si="7"/>
        <v>3.15E-2</v>
      </c>
      <c r="G29" s="11">
        <f t="shared" si="7"/>
        <v>0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99</v>
      </c>
      <c r="C30" s="11">
        <f t="shared" ref="C30:J30" si="8">IF(ISBLANK(C9),C7,C7+(C9-C7)*(3)/4)</f>
        <v>0.26124999999999998</v>
      </c>
      <c r="D30" s="11">
        <f t="shared" si="8"/>
        <v>0</v>
      </c>
      <c r="E30" s="11">
        <f t="shared" si="8"/>
        <v>0.22999999999999998</v>
      </c>
      <c r="F30" s="11">
        <f t="shared" si="8"/>
        <v>3.5750000000000004E-2</v>
      </c>
      <c r="G30" s="11">
        <f t="shared" si="8"/>
        <v>0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100</v>
      </c>
      <c r="C31" s="11">
        <f t="shared" ref="C31:J31" si="9">IF(ISBLANK(C9),C7,C7+(C9-C7)*(4)/4)</f>
        <v>0.26500000000000001</v>
      </c>
      <c r="D31" s="11">
        <f t="shared" si="9"/>
        <v>0</v>
      </c>
      <c r="E31" s="11">
        <f t="shared" si="9"/>
        <v>0.23499999999999999</v>
      </c>
      <c r="F31" s="11">
        <f t="shared" si="9"/>
        <v>0.04</v>
      </c>
      <c r="G31" s="11">
        <f t="shared" si="9"/>
        <v>0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101</v>
      </c>
      <c r="C33" s="6">
        <f t="shared" ref="C33:J37" si="10">C21*C27</f>
        <v>6485.7324999999992</v>
      </c>
      <c r="D33" s="6">
        <f t="shared" si="10"/>
        <v>0</v>
      </c>
      <c r="E33" s="6">
        <f t="shared" si="10"/>
        <v>2780.02396</v>
      </c>
      <c r="F33" s="6">
        <f t="shared" si="10"/>
        <v>98.615604999999988</v>
      </c>
      <c r="G33" s="6">
        <f t="shared" si="10"/>
        <v>0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102</v>
      </c>
      <c r="C34" s="6">
        <f t="shared" si="10"/>
        <v>6668.5977278374994</v>
      </c>
      <c r="D34" s="6">
        <f t="shared" si="10"/>
        <v>0</v>
      </c>
      <c r="E34" s="6">
        <f t="shared" si="10"/>
        <v>2907.2585449599997</v>
      </c>
      <c r="F34" s="6">
        <f t="shared" si="10"/>
        <v>122.09576616874999</v>
      </c>
      <c r="G34" s="6">
        <f t="shared" si="10"/>
        <v>0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103</v>
      </c>
      <c r="C35" s="6">
        <f t="shared" si="10"/>
        <v>6855.1213628062742</v>
      </c>
      <c r="D35" s="6">
        <f t="shared" si="10"/>
        <v>0</v>
      </c>
      <c r="E35" s="6">
        <f t="shared" si="10"/>
        <v>3038.7459200615995</v>
      </c>
      <c r="F35" s="6">
        <f t="shared" si="10"/>
        <v>147.48944524256248</v>
      </c>
      <c r="G35" s="6">
        <f t="shared" si="10"/>
        <v>0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104</v>
      </c>
      <c r="C36" s="6">
        <f t="shared" si="10"/>
        <v>7045.3676192682324</v>
      </c>
      <c r="D36" s="6">
        <f t="shared" si="10"/>
        <v>0</v>
      </c>
      <c r="E36" s="6">
        <f t="shared" si="10"/>
        <v>3174.6116265319097</v>
      </c>
      <c r="F36" s="6">
        <f t="shared" si="10"/>
        <v>174.92131150652634</v>
      </c>
      <c r="G36" s="6">
        <f t="shared" si="10"/>
        <v>0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105</v>
      </c>
      <c r="C37" s="6">
        <f t="shared" si="10"/>
        <v>7239.4017628878873</v>
      </c>
      <c r="D37" s="6">
        <f t="shared" si="10"/>
        <v>0</v>
      </c>
      <c r="E37" s="6">
        <f t="shared" si="10"/>
        <v>3314.9846710616034</v>
      </c>
      <c r="F37" s="6">
        <f t="shared" si="10"/>
        <v>204.52337960763077</v>
      </c>
      <c r="G37" s="6">
        <f t="shared" si="10"/>
        <v>0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106</v>
      </c>
      <c r="C39" s="6">
        <f>C33*(1-Inputs!B22)</f>
        <v>4818.8992474999995</v>
      </c>
      <c r="D39" s="6">
        <f>D33*(1-Inputs!B22)</f>
        <v>0</v>
      </c>
      <c r="E39" s="6">
        <f>E33*(1-Inputs!B22)</f>
        <v>2065.55780228</v>
      </c>
      <c r="F39" s="6">
        <f>F33*(1-Inputs!B22)</f>
        <v>73.271394514999997</v>
      </c>
      <c r="G39" s="6">
        <f>G33*(1-Inputs!B22)</f>
        <v>0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107</v>
      </c>
      <c r="C40" s="6">
        <f>C34*(1-Inputs!B22)</f>
        <v>4954.7681117832617</v>
      </c>
      <c r="D40" s="6">
        <f>D34*(1-Inputs!B22)</f>
        <v>0</v>
      </c>
      <c r="E40" s="6">
        <f>E34*(1-Inputs!B22)</f>
        <v>2160.0930989052799</v>
      </c>
      <c r="F40" s="6">
        <f>F34*(1-Inputs!B22)</f>
        <v>90.717154263381246</v>
      </c>
      <c r="G40" s="6">
        <f>G34*(1-Inputs!B22)</f>
        <v>0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108</v>
      </c>
      <c r="C41" s="6">
        <f>C35*(1-Inputs!B22)</f>
        <v>5093.3551725650614</v>
      </c>
      <c r="D41" s="6">
        <f>D35*(1-Inputs!B22)</f>
        <v>0</v>
      </c>
      <c r="E41" s="6">
        <f>E35*(1-Inputs!B22)</f>
        <v>2257.7882186057682</v>
      </c>
      <c r="F41" s="6">
        <f>F35*(1-Inputs!B22)</f>
        <v>109.58465781522392</v>
      </c>
      <c r="G41" s="6">
        <f>G35*(1-Inputs!B22)</f>
        <v>0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109</v>
      </c>
      <c r="C42" s="6">
        <f>C36*(1-Inputs!B22)</f>
        <v>5234.7081411162962</v>
      </c>
      <c r="D42" s="6">
        <f>D36*(1-Inputs!B22)</f>
        <v>0</v>
      </c>
      <c r="E42" s="6">
        <f>E36*(1-Inputs!B22)</f>
        <v>2358.7364385132087</v>
      </c>
      <c r="F42" s="6">
        <f>F36*(1-Inputs!B22)</f>
        <v>129.96653444934907</v>
      </c>
      <c r="G42" s="6">
        <f>G36*(1-Inputs!B22)</f>
        <v>0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110</v>
      </c>
      <c r="C43" s="6">
        <f>C37*(1-Inputs!B22)</f>
        <v>5378.8755098257006</v>
      </c>
      <c r="D43" s="6">
        <f>D37*(1-Inputs!B22)</f>
        <v>0</v>
      </c>
      <c r="E43" s="6">
        <f>E37*(1-Inputs!B22)</f>
        <v>2463.0336105987712</v>
      </c>
      <c r="F43" s="6">
        <f>F37*(1-Inputs!B22)</f>
        <v>151.96087104846967</v>
      </c>
      <c r="G43" s="6">
        <f>G37*(1-Inputs!B22)</f>
        <v>0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111</v>
      </c>
      <c r="C45" s="6">
        <f t="shared" ref="C45:J45" si="11">C21*IF(ISBLANK(C26),C12,C12+(C26-C12)*(0)/4)</f>
        <v>389.14394999999996</v>
      </c>
      <c r="D45" s="6">
        <f t="shared" si="11"/>
        <v>0</v>
      </c>
      <c r="E45" s="6">
        <f t="shared" si="11"/>
        <v>258.60688000000005</v>
      </c>
      <c r="F45" s="6">
        <f t="shared" si="11"/>
        <v>42.876349999999995</v>
      </c>
      <c r="G45" s="6">
        <f t="shared" si="11"/>
        <v>0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112</v>
      </c>
      <c r="C46" s="6">
        <f t="shared" ref="C46:J46" si="12">C22*IF(ISBLANK(C26),C12,C12+(C26-C12)*(1)/4)</f>
        <v>394.20282134999991</v>
      </c>
      <c r="D46" s="6">
        <f t="shared" si="12"/>
        <v>0</v>
      </c>
      <c r="E46" s="6">
        <f t="shared" si="12"/>
        <v>264.29623135999998</v>
      </c>
      <c r="F46" s="6">
        <f t="shared" si="12"/>
        <v>44.805785749999998</v>
      </c>
      <c r="G46" s="6">
        <f t="shared" si="12"/>
        <v>0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113</v>
      </c>
      <c r="C47" s="6">
        <f t="shared" ref="C47:J47" si="13">C23*IF(ISBLANK(C26),C12,C12+(C26-C12)*(2)/4)</f>
        <v>399.32745802754994</v>
      </c>
      <c r="D47" s="6">
        <f t="shared" si="13"/>
        <v>0</v>
      </c>
      <c r="E47" s="6">
        <f t="shared" si="13"/>
        <v>270.11074844991998</v>
      </c>
      <c r="F47" s="6">
        <f t="shared" si="13"/>
        <v>46.822046108749994</v>
      </c>
      <c r="G47" s="6">
        <f t="shared" si="13"/>
        <v>0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114</v>
      </c>
      <c r="C48" s="6">
        <f t="shared" ref="C48:J48" si="14">C24*IF(ISBLANK(C26),C12,C12+(C26-C12)*(3)/4)</f>
        <v>404.51871498190809</v>
      </c>
      <c r="D48" s="6">
        <f t="shared" si="14"/>
        <v>0</v>
      </c>
      <c r="E48" s="6">
        <f t="shared" si="14"/>
        <v>276.05318491581824</v>
      </c>
      <c r="F48" s="6">
        <f t="shared" si="14"/>
        <v>48.929038183643726</v>
      </c>
      <c r="G48" s="6">
        <f t="shared" si="14"/>
        <v>0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115</v>
      </c>
      <c r="C49" s="6">
        <f t="shared" ref="C49:J49" si="15">C25*IF(ISBLANK(C26),C12,C12+(C26-C12)*(4)/4)</f>
        <v>409.7774582766728</v>
      </c>
      <c r="D49" s="6">
        <f t="shared" si="15"/>
        <v>0</v>
      </c>
      <c r="E49" s="6">
        <f t="shared" si="15"/>
        <v>282.12635498396628</v>
      </c>
      <c r="F49" s="6">
        <f t="shared" si="15"/>
        <v>51.130844901907693</v>
      </c>
      <c r="G49" s="6">
        <f t="shared" si="15"/>
        <v>0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116</v>
      </c>
      <c r="C51" s="6">
        <f t="shared" ref="C51:J55" si="16">C39-C45</f>
        <v>4429.7552974999999</v>
      </c>
      <c r="D51" s="6">
        <f t="shared" si="16"/>
        <v>0</v>
      </c>
      <c r="E51" s="6">
        <f t="shared" si="16"/>
        <v>1806.95092228</v>
      </c>
      <c r="F51" s="6">
        <f t="shared" si="16"/>
        <v>30.395044515000002</v>
      </c>
      <c r="G51" s="6">
        <f t="shared" si="16"/>
        <v>0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117</v>
      </c>
      <c r="C52" s="6">
        <f t="shared" si="16"/>
        <v>4560.5652904332619</v>
      </c>
      <c r="D52" s="6">
        <f t="shared" si="16"/>
        <v>0</v>
      </c>
      <c r="E52" s="6">
        <f t="shared" si="16"/>
        <v>1895.7968675452798</v>
      </c>
      <c r="F52" s="6">
        <f t="shared" si="16"/>
        <v>45.911368513381248</v>
      </c>
      <c r="G52" s="6">
        <f t="shared" si="16"/>
        <v>0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118</v>
      </c>
      <c r="C53" s="6">
        <f t="shared" si="16"/>
        <v>4694.0277145375112</v>
      </c>
      <c r="D53" s="6">
        <f t="shared" si="16"/>
        <v>0</v>
      </c>
      <c r="E53" s="6">
        <f t="shared" si="16"/>
        <v>1987.6774701558481</v>
      </c>
      <c r="F53" s="6">
        <f t="shared" si="16"/>
        <v>62.762611706473926</v>
      </c>
      <c r="G53" s="6">
        <f t="shared" si="16"/>
        <v>0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119</v>
      </c>
      <c r="C54" s="6">
        <f t="shared" si="16"/>
        <v>4830.1894261343878</v>
      </c>
      <c r="D54" s="6">
        <f t="shared" si="16"/>
        <v>0</v>
      </c>
      <c r="E54" s="6">
        <f t="shared" si="16"/>
        <v>2082.6832535973904</v>
      </c>
      <c r="F54" s="6">
        <f t="shared" si="16"/>
        <v>81.037496265705343</v>
      </c>
      <c r="G54" s="6">
        <f t="shared" si="16"/>
        <v>0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120</v>
      </c>
      <c r="C55" s="6">
        <f t="shared" si="16"/>
        <v>4969.0980515490282</v>
      </c>
      <c r="D55" s="6">
        <f t="shared" si="16"/>
        <v>0</v>
      </c>
      <c r="E55" s="6">
        <f t="shared" si="16"/>
        <v>2180.9072556148049</v>
      </c>
      <c r="F55" s="6">
        <f t="shared" si="16"/>
        <v>100.83002614656198</v>
      </c>
      <c r="G55" s="6">
        <f t="shared" si="16"/>
        <v>0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121</v>
      </c>
      <c r="C57" s="6">
        <f t="shared" ref="C57:J57" si="17">C51/((1+C16))</f>
        <v>4197.3564235735657</v>
      </c>
      <c r="D57" s="6">
        <f t="shared" si="17"/>
        <v>0</v>
      </c>
      <c r="E57" s="6">
        <f t="shared" si="17"/>
        <v>1706.7499016151885</v>
      </c>
      <c r="F57" s="6">
        <f t="shared" si="17"/>
        <v>28.355872890515364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122</v>
      </c>
      <c r="C58" s="6">
        <f t="shared" ref="C58:J58" si="18">C52/((1+C16)*(1+C16+(C104-C16)*1/5))</f>
        <v>4082.4538371184817</v>
      </c>
      <c r="D58" s="6">
        <f t="shared" si="18"/>
        <v>0</v>
      </c>
      <c r="E58" s="6">
        <f t="shared" si="18"/>
        <v>1686.3164077267268</v>
      </c>
      <c r="F58" s="6">
        <f t="shared" si="18"/>
        <v>39.964081474318235</v>
      </c>
      <c r="G58" s="6">
        <f t="shared" si="18"/>
        <v>0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123</v>
      </c>
      <c r="C59" s="6">
        <f t="shared" ref="C59:J59" si="19">C53/((1+C16)*(1+C16+(C104-C16)*1/5)*(1+C16+(C104-C16)*2/5))</f>
        <v>3957.9375994721709</v>
      </c>
      <c r="D59" s="6">
        <f t="shared" si="19"/>
        <v>0</v>
      </c>
      <c r="E59" s="6">
        <f t="shared" si="19"/>
        <v>1660.0493478848766</v>
      </c>
      <c r="F59" s="6">
        <f t="shared" si="19"/>
        <v>50.983435768475665</v>
      </c>
      <c r="G59" s="6">
        <f t="shared" si="19"/>
        <v>0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124</v>
      </c>
      <c r="C60" s="6">
        <f t="shared" ref="C60:J60" si="20">C54/((1+C16)*(1+C16+(C104-C16)*1/5)*(1+C16+(C104-C16)*2/5)*(1+C16+(C104-C16)*3/5))</f>
        <v>3824.9532994076053</v>
      </c>
      <c r="D60" s="6">
        <f t="shared" si="20"/>
        <v>0</v>
      </c>
      <c r="E60" s="6">
        <f t="shared" si="20"/>
        <v>1628.2986644216603</v>
      </c>
      <c r="F60" s="6">
        <f t="shared" si="20"/>
        <v>61.441490977276956</v>
      </c>
      <c r="G60" s="6">
        <f t="shared" si="20"/>
        <v>0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125</v>
      </c>
      <c r="C61" s="6">
        <f t="shared" ref="C61:J61" si="21">C55/((1+C16)*(1+C16+(C104-C16)*1/5)*(1+C16+(C104-C16)*2/5)*(1+C16+(C104-C16)*3/5)*(1+C16+(C104-C16)*4/5))</f>
        <v>3684.6817800816607</v>
      </c>
      <c r="D61" s="6">
        <f t="shared" si="21"/>
        <v>0</v>
      </c>
      <c r="E61" s="6">
        <f t="shared" si="21"/>
        <v>1591.4594210385096</v>
      </c>
      <c r="F61" s="6">
        <f t="shared" si="21"/>
        <v>71.364529516184632</v>
      </c>
      <c r="G61" s="6">
        <f t="shared" si="21"/>
        <v>0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126</v>
      </c>
    </row>
    <row r="63" spans="1:10" x14ac:dyDescent="0.25">
      <c r="A63" s="4" t="s">
        <v>127</v>
      </c>
      <c r="C63" s="6">
        <f t="shared" ref="C63:J63" si="22">C25*(1+(C6+(C13-C6)*1/5))</f>
        <v>27668.173982840948</v>
      </c>
      <c r="D63" s="6">
        <f t="shared" si="22"/>
        <v>0</v>
      </c>
      <c r="E63" s="6">
        <f t="shared" si="22"/>
        <v>14411.014212580998</v>
      </c>
      <c r="F63" s="6">
        <f t="shared" si="22"/>
        <v>5317.6078697984003</v>
      </c>
      <c r="G63" s="6">
        <f t="shared" si="22"/>
        <v>0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128</v>
      </c>
      <c r="C64" s="6">
        <f t="shared" ref="C64:J64" si="23">C63*(1+(C6+(C13-C6)*2/5))</f>
        <v>28016.792975024742</v>
      </c>
      <c r="D64" s="6">
        <f t="shared" si="23"/>
        <v>0</v>
      </c>
      <c r="E64" s="6">
        <f t="shared" si="23"/>
        <v>14716.527713887717</v>
      </c>
      <c r="F64" s="6">
        <f t="shared" si="23"/>
        <v>5503.7241452413436</v>
      </c>
      <c r="G64" s="6">
        <f t="shared" si="23"/>
        <v>0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129</v>
      </c>
      <c r="C65" s="6">
        <f t="shared" ref="C65:J65" si="24">C64*(1+(C6+(C13-C6)*3/5))</f>
        <v>28364.201207915048</v>
      </c>
      <c r="D65" s="6">
        <f t="shared" si="24"/>
        <v>0</v>
      </c>
      <c r="E65" s="6">
        <f t="shared" si="24"/>
        <v>15022.63149033658</v>
      </c>
      <c r="F65" s="6">
        <f t="shared" si="24"/>
        <v>5668.8358695985844</v>
      </c>
      <c r="G65" s="6">
        <f t="shared" si="24"/>
        <v>0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130</v>
      </c>
      <c r="C66" s="6">
        <f t="shared" ref="C66:J66" si="25">C65*(1+(C6+(C13-C6)*4/5))</f>
        <v>28710.244462651612</v>
      </c>
      <c r="D66" s="6">
        <f t="shared" si="25"/>
        <v>0</v>
      </c>
      <c r="E66" s="6">
        <f t="shared" si="25"/>
        <v>15329.093172739445</v>
      </c>
      <c r="F66" s="6">
        <f t="shared" si="25"/>
        <v>5810.5567663385482</v>
      </c>
      <c r="G66" s="6">
        <f t="shared" si="25"/>
        <v>0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131</v>
      </c>
      <c r="C67" s="6">
        <f t="shared" ref="C67:J67" si="26">C66*(1+(C6+(C13-C6)*5/5))</f>
        <v>29054.767396203431</v>
      </c>
      <c r="D67" s="6">
        <f t="shared" si="26"/>
        <v>0</v>
      </c>
      <c r="E67" s="6">
        <f t="shared" si="26"/>
        <v>15635.675036194234</v>
      </c>
      <c r="F67" s="6">
        <f t="shared" si="26"/>
        <v>5926.7679016653192</v>
      </c>
      <c r="G67" s="6">
        <f t="shared" si="26"/>
        <v>0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132</v>
      </c>
      <c r="C69" s="11">
        <f t="shared" ref="C69:J69" si="27">IF(ISBLANK(C9),C7,C9)</f>
        <v>0.26500000000000001</v>
      </c>
      <c r="D69" s="11">
        <f t="shared" si="27"/>
        <v>0</v>
      </c>
      <c r="E69" s="11">
        <f t="shared" si="27"/>
        <v>0.23499999999999999</v>
      </c>
      <c r="F69" s="11">
        <f t="shared" si="27"/>
        <v>0.04</v>
      </c>
      <c r="G69" s="11">
        <f t="shared" si="27"/>
        <v>0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133</v>
      </c>
      <c r="C70" s="11">
        <f t="shared" ref="C70:J70" si="28">IF(ISBLANK(C9),C7,C9)</f>
        <v>0.26500000000000001</v>
      </c>
      <c r="D70" s="11">
        <f t="shared" si="28"/>
        <v>0</v>
      </c>
      <c r="E70" s="11">
        <f t="shared" si="28"/>
        <v>0.23499999999999999</v>
      </c>
      <c r="F70" s="11">
        <f t="shared" si="28"/>
        <v>0.04</v>
      </c>
      <c r="G70" s="11">
        <f t="shared" si="28"/>
        <v>0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134</v>
      </c>
      <c r="C71" s="11">
        <f t="shared" ref="C71:J71" si="29">IF(ISBLANK(C9),C7,C9)</f>
        <v>0.26500000000000001</v>
      </c>
      <c r="D71" s="11">
        <f t="shared" si="29"/>
        <v>0</v>
      </c>
      <c r="E71" s="11">
        <f t="shared" si="29"/>
        <v>0.23499999999999999</v>
      </c>
      <c r="F71" s="11">
        <f t="shared" si="29"/>
        <v>0.04</v>
      </c>
      <c r="G71" s="11">
        <f t="shared" si="29"/>
        <v>0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135</v>
      </c>
      <c r="C72" s="11">
        <f t="shared" ref="C72:J72" si="30">IF(ISBLANK(C9),C7,C9)</f>
        <v>0.26500000000000001</v>
      </c>
      <c r="D72" s="11">
        <f t="shared" si="30"/>
        <v>0</v>
      </c>
      <c r="E72" s="11">
        <f t="shared" si="30"/>
        <v>0.23499999999999999</v>
      </c>
      <c r="F72" s="11">
        <f t="shared" si="30"/>
        <v>0.04</v>
      </c>
      <c r="G72" s="11">
        <f t="shared" si="30"/>
        <v>0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136</v>
      </c>
      <c r="C73" s="11">
        <f t="shared" ref="C73:J73" si="31">IF(ISBLANK(C9),C7,C9)</f>
        <v>0.26500000000000001</v>
      </c>
      <c r="D73" s="11">
        <f t="shared" si="31"/>
        <v>0</v>
      </c>
      <c r="E73" s="11">
        <f t="shared" si="31"/>
        <v>0.23499999999999999</v>
      </c>
      <c r="F73" s="11">
        <f t="shared" si="31"/>
        <v>0.04</v>
      </c>
      <c r="G73" s="11">
        <f t="shared" si="31"/>
        <v>0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137</v>
      </c>
      <c r="C75" s="6">
        <f t="shared" ref="C75:J79" si="32">C63*C69</f>
        <v>7332.0661054528518</v>
      </c>
      <c r="D75" s="6">
        <f t="shared" si="32"/>
        <v>0</v>
      </c>
      <c r="E75" s="6">
        <f t="shared" si="32"/>
        <v>3386.5883399565341</v>
      </c>
      <c r="F75" s="6">
        <f t="shared" si="32"/>
        <v>212.70431479193601</v>
      </c>
      <c r="G75" s="6">
        <f t="shared" si="32"/>
        <v>0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138</v>
      </c>
      <c r="C76" s="6">
        <f t="shared" si="32"/>
        <v>7424.4501383815568</v>
      </c>
      <c r="D76" s="6">
        <f t="shared" si="32"/>
        <v>0</v>
      </c>
      <c r="E76" s="6">
        <f t="shared" si="32"/>
        <v>3458.3840127636136</v>
      </c>
      <c r="F76" s="6">
        <f t="shared" si="32"/>
        <v>220.14896580965376</v>
      </c>
      <c r="G76" s="6">
        <f t="shared" si="32"/>
        <v>0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139</v>
      </c>
      <c r="C77" s="6">
        <f t="shared" si="32"/>
        <v>7516.5133200974878</v>
      </c>
      <c r="D77" s="6">
        <f t="shared" si="32"/>
        <v>0</v>
      </c>
      <c r="E77" s="6">
        <f t="shared" si="32"/>
        <v>3530.3184002290959</v>
      </c>
      <c r="F77" s="6">
        <f t="shared" si="32"/>
        <v>226.75343478394339</v>
      </c>
      <c r="G77" s="6">
        <f t="shared" si="32"/>
        <v>0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140</v>
      </c>
      <c r="C78" s="6">
        <f t="shared" si="32"/>
        <v>7608.2147826026776</v>
      </c>
      <c r="D78" s="6">
        <f t="shared" si="32"/>
        <v>0</v>
      </c>
      <c r="E78" s="6">
        <f t="shared" si="32"/>
        <v>3602.3368955937694</v>
      </c>
      <c r="F78" s="6">
        <f t="shared" si="32"/>
        <v>232.42227065354194</v>
      </c>
      <c r="G78" s="6">
        <f t="shared" si="32"/>
        <v>0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141</v>
      </c>
      <c r="C79" s="6">
        <f t="shared" si="32"/>
        <v>7699.5133599939099</v>
      </c>
      <c r="D79" s="6">
        <f t="shared" si="32"/>
        <v>0</v>
      </c>
      <c r="E79" s="6">
        <f t="shared" si="32"/>
        <v>3674.3836335056449</v>
      </c>
      <c r="F79" s="6">
        <f t="shared" si="32"/>
        <v>237.07071606661276</v>
      </c>
      <c r="G79" s="6">
        <f t="shared" si="32"/>
        <v>0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142</v>
      </c>
      <c r="C81" s="6">
        <f>C75*(1-Inputs!B22)</f>
        <v>5447.7251163514693</v>
      </c>
      <c r="D81" s="6">
        <f>D75*(1-Inputs!B22)</f>
        <v>0</v>
      </c>
      <c r="E81" s="6">
        <f>E75*(1-Inputs!B22)</f>
        <v>2516.2351365877048</v>
      </c>
      <c r="F81" s="6">
        <f>F75*(1-Inputs!B22)</f>
        <v>158.03930589040846</v>
      </c>
      <c r="G81" s="6">
        <f>G75*(1-Inputs!B22)</f>
        <v>0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143</v>
      </c>
      <c r="C82" s="6">
        <f>C76*(1-Inputs!B22)</f>
        <v>5516.3664528174968</v>
      </c>
      <c r="D82" s="6">
        <f>D76*(1-Inputs!B22)</f>
        <v>0</v>
      </c>
      <c r="E82" s="6">
        <f>E76*(1-Inputs!B22)</f>
        <v>2569.5793214833648</v>
      </c>
      <c r="F82" s="6">
        <f>F76*(1-Inputs!B22)</f>
        <v>163.57068159657274</v>
      </c>
      <c r="G82" s="6">
        <f>G76*(1-Inputs!B22)</f>
        <v>0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144</v>
      </c>
      <c r="C83" s="6">
        <f>C77*(1-Inputs!B22)</f>
        <v>5584.7693968324338</v>
      </c>
      <c r="D83" s="6">
        <f>D77*(1-Inputs!B22)</f>
        <v>0</v>
      </c>
      <c r="E83" s="6">
        <f>E77*(1-Inputs!B22)</f>
        <v>2623.0265713702183</v>
      </c>
      <c r="F83" s="6">
        <f>F77*(1-Inputs!B22)</f>
        <v>168.47780204446994</v>
      </c>
      <c r="G83" s="6">
        <f>G77*(1-Inputs!B22)</f>
        <v>0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145</v>
      </c>
      <c r="C84" s="6">
        <f>C78*(1-Inputs!B22)</f>
        <v>5652.9035834737897</v>
      </c>
      <c r="D84" s="6">
        <f>D78*(1-Inputs!B22)</f>
        <v>0</v>
      </c>
      <c r="E84" s="6">
        <f>E78*(1-Inputs!B22)</f>
        <v>2676.5363134261706</v>
      </c>
      <c r="F84" s="6">
        <f>F78*(1-Inputs!B22)</f>
        <v>172.68974709558165</v>
      </c>
      <c r="G84" s="6">
        <f>G78*(1-Inputs!B22)</f>
        <v>0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146</v>
      </c>
      <c r="C85" s="6">
        <f>C79*(1-Inputs!B22)</f>
        <v>5720.7384264754746</v>
      </c>
      <c r="D85" s="6">
        <f>D79*(1-Inputs!B22)</f>
        <v>0</v>
      </c>
      <c r="E85" s="6">
        <f>E79*(1-Inputs!B22)</f>
        <v>2730.0670396946939</v>
      </c>
      <c r="F85" s="6">
        <f>F79*(1-Inputs!B22)</f>
        <v>176.14354203749329</v>
      </c>
      <c r="G85" s="6">
        <f>G79*(1-Inputs!B22)</f>
        <v>0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147</v>
      </c>
      <c r="C87" s="6">
        <f t="shared" ref="C87:J87" si="33">C63*MAX(IF(ISBLANK(C26),C12,C26),0)</f>
        <v>415.02260974261418</v>
      </c>
      <c r="D87" s="6">
        <f t="shared" si="33"/>
        <v>0</v>
      </c>
      <c r="E87" s="6">
        <f t="shared" si="33"/>
        <v>288.22028425161994</v>
      </c>
      <c r="F87" s="6">
        <f t="shared" si="33"/>
        <v>53.176078697984003</v>
      </c>
      <c r="G87" s="6">
        <f t="shared" si="33"/>
        <v>0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148</v>
      </c>
      <c r="C88" s="6">
        <f t="shared" ref="C88:J88" si="34">C64*MAX(IF(ISBLANK(C26),C12,C26),0)</f>
        <v>420.25189462537111</v>
      </c>
      <c r="D88" s="6">
        <f t="shared" si="34"/>
        <v>0</v>
      </c>
      <c r="E88" s="6">
        <f t="shared" si="34"/>
        <v>294.33055427775435</v>
      </c>
      <c r="F88" s="6">
        <f t="shared" si="34"/>
        <v>55.03724145241344</v>
      </c>
      <c r="G88" s="6">
        <f t="shared" si="34"/>
        <v>0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149</v>
      </c>
      <c r="C89" s="6">
        <f t="shared" ref="C89:J89" si="35">C65*MAX(IF(ISBLANK(C26),C12,C26),0)</f>
        <v>425.4630181187257</v>
      </c>
      <c r="D89" s="6">
        <f t="shared" si="35"/>
        <v>0</v>
      </c>
      <c r="E89" s="6">
        <f t="shared" si="35"/>
        <v>300.45262980673164</v>
      </c>
      <c r="F89" s="6">
        <f t="shared" si="35"/>
        <v>56.688358695985848</v>
      </c>
      <c r="G89" s="6">
        <f t="shared" si="35"/>
        <v>0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150</v>
      </c>
      <c r="C90" s="6">
        <f t="shared" ref="C90:J90" si="36">C66*MAX(IF(ISBLANK(C26),C12,C26),0)</f>
        <v>430.65366693977415</v>
      </c>
      <c r="D90" s="6">
        <f t="shared" si="36"/>
        <v>0</v>
      </c>
      <c r="E90" s="6">
        <f t="shared" si="36"/>
        <v>306.5818634547889</v>
      </c>
      <c r="F90" s="6">
        <f t="shared" si="36"/>
        <v>58.105567663385486</v>
      </c>
      <c r="G90" s="6">
        <f t="shared" si="36"/>
        <v>0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151</v>
      </c>
      <c r="C91" s="6">
        <f t="shared" ref="C91:J91" si="37">C67*MAX(IF(ISBLANK(C26),C12,C26),0)</f>
        <v>435.82151094305146</v>
      </c>
      <c r="D91" s="6">
        <f t="shared" si="37"/>
        <v>0</v>
      </c>
      <c r="E91" s="6">
        <f t="shared" si="37"/>
        <v>312.71350072388469</v>
      </c>
      <c r="F91" s="6">
        <f t="shared" si="37"/>
        <v>59.26767901665319</v>
      </c>
      <c r="G91" s="6">
        <f t="shared" si="37"/>
        <v>0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152</v>
      </c>
      <c r="C93" s="6">
        <f t="shared" ref="C93:J97" si="38">C81-C87</f>
        <v>5032.7025066088554</v>
      </c>
      <c r="D93" s="6">
        <f t="shared" si="38"/>
        <v>0</v>
      </c>
      <c r="E93" s="6">
        <f t="shared" si="38"/>
        <v>2228.0148523360849</v>
      </c>
      <c r="F93" s="6">
        <f t="shared" si="38"/>
        <v>104.86322719242446</v>
      </c>
      <c r="G93" s="6">
        <f t="shared" si="38"/>
        <v>0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153</v>
      </c>
      <c r="C94" s="6">
        <f t="shared" si="38"/>
        <v>5096.1145581921255</v>
      </c>
      <c r="D94" s="6">
        <f t="shared" si="38"/>
        <v>0</v>
      </c>
      <c r="E94" s="6">
        <f t="shared" si="38"/>
        <v>2275.2487672056104</v>
      </c>
      <c r="F94" s="6">
        <f t="shared" si="38"/>
        <v>108.5334401441593</v>
      </c>
      <c r="G94" s="6">
        <f t="shared" si="38"/>
        <v>0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154</v>
      </c>
      <c r="C95" s="6">
        <f t="shared" si="38"/>
        <v>5159.306378713708</v>
      </c>
      <c r="D95" s="6">
        <f t="shared" si="38"/>
        <v>0</v>
      </c>
      <c r="E95" s="6">
        <f t="shared" si="38"/>
        <v>2322.5739415634866</v>
      </c>
      <c r="F95" s="6">
        <f t="shared" si="38"/>
        <v>111.7894433484841</v>
      </c>
      <c r="G95" s="6">
        <f t="shared" si="38"/>
        <v>0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155</v>
      </c>
      <c r="C96" s="6">
        <f t="shared" si="38"/>
        <v>5222.2499165340159</v>
      </c>
      <c r="D96" s="6">
        <f t="shared" si="38"/>
        <v>0</v>
      </c>
      <c r="E96" s="6">
        <f t="shared" si="38"/>
        <v>2369.9544499713816</v>
      </c>
      <c r="F96" s="6">
        <f t="shared" si="38"/>
        <v>114.58417943219617</v>
      </c>
      <c r="G96" s="6">
        <f t="shared" si="38"/>
        <v>0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156</v>
      </c>
      <c r="C97" s="6">
        <f t="shared" si="38"/>
        <v>5284.9169155324234</v>
      </c>
      <c r="D97" s="6">
        <f t="shared" si="38"/>
        <v>0</v>
      </c>
      <c r="E97" s="6">
        <f t="shared" si="38"/>
        <v>2417.353538970809</v>
      </c>
      <c r="F97" s="6">
        <f t="shared" si="38"/>
        <v>116.8758630208401</v>
      </c>
      <c r="G97" s="6">
        <f t="shared" si="38"/>
        <v>0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157</v>
      </c>
      <c r="C99" s="6">
        <f t="shared" ref="C99:J99" si="39">C93/(((1+C16)*(1+C16+(C104-C16)*1/5)*(1+C16+(C104-C16)*2/5)*(1+C16+(C104-C16)*3/5)*(1+C16+(C104-C16)*4/5))*(1+C104)^1)</f>
        <v>3484.2526777177882</v>
      </c>
      <c r="D99" s="6">
        <f t="shared" si="39"/>
        <v>0</v>
      </c>
      <c r="E99" s="6">
        <f t="shared" si="39"/>
        <v>1513.0022231536673</v>
      </c>
      <c r="F99" s="6">
        <f t="shared" si="39"/>
        <v>69.294969700232173</v>
      </c>
      <c r="G99" s="6">
        <f t="shared" si="39"/>
        <v>0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158</v>
      </c>
      <c r="C100" s="6">
        <f t="shared" ref="C100:J100" si="40">C94/(((1+C16)*(1+C16+(C104-C16)*1/5)*(1+C16+(C104-C16)*2/5)*(1+C16+(C104-C16)*3/5)*(1+C16+(C104-C16)*4/5))*(1+C104)^2)</f>
        <v>3294.0753446112844</v>
      </c>
      <c r="D100" s="6">
        <f t="shared" si="40"/>
        <v>0</v>
      </c>
      <c r="E100" s="6">
        <f t="shared" si="40"/>
        <v>1437.8496787431152</v>
      </c>
      <c r="F100" s="6">
        <f t="shared" si="40"/>
        <v>66.961939155513107</v>
      </c>
      <c r="G100" s="6">
        <f t="shared" si="40"/>
        <v>0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159</v>
      </c>
      <c r="C101" s="6">
        <f t="shared" ref="C101:J101" si="41">C95/(((1+C16)*(1+C16+(C104-C16)*1/5)*(1+C16+(C104-C16)*2/5)*(1+C16+(C104-C16)*3/5)*(1+C16+(C104-C16)*4/5))*(1+C104)^3)</f>
        <v>3113.6631573760474</v>
      </c>
      <c r="D101" s="6">
        <f t="shared" si="41"/>
        <v>0</v>
      </c>
      <c r="E101" s="6">
        <f t="shared" si="41"/>
        <v>1365.8948216022343</v>
      </c>
      <c r="F101" s="6">
        <f t="shared" si="41"/>
        <v>64.394860923597349</v>
      </c>
      <c r="G101" s="6">
        <f t="shared" si="41"/>
        <v>0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160</v>
      </c>
      <c r="C102" s="6">
        <f t="shared" ref="C102:J102" si="42">C96/(((1+C16)*(1+C16+(C104-C16)*1/5)*(1+C16+(C104-C16)*2/5)*(1+C16+(C104-C16)*3/5)*(1+C16+(C104-C16)*4/5))*(1+C104)^4)</f>
        <v>2942.5504922550767</v>
      </c>
      <c r="D102" s="6">
        <f t="shared" si="42"/>
        <v>0</v>
      </c>
      <c r="E102" s="6">
        <f t="shared" si="42"/>
        <v>1297.0323879207115</v>
      </c>
      <c r="F102" s="6">
        <f t="shared" si="42"/>
        <v>61.625582576002948</v>
      </c>
      <c r="G102" s="6">
        <f t="shared" si="42"/>
        <v>0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161</v>
      </c>
      <c r="C103" s="6">
        <f t="shared" ref="C103:J103" si="43">C97/(((1+C16)*(1+C16+(C104-C16)*1/5)*(1+C16+(C104-C16)*2/5)*(1+C16+(C104-C16)*3/5)*(1+C16+(C104-C16)*4/5))*(1+C104)^5)</f>
        <v>2780.2919306260746</v>
      </c>
      <c r="D103" s="6">
        <f t="shared" si="43"/>
        <v>0</v>
      </c>
      <c r="E103" s="6">
        <f t="shared" si="43"/>
        <v>1231.1588890899968</v>
      </c>
      <c r="F103" s="6">
        <f t="shared" si="43"/>
        <v>58.68771121096804</v>
      </c>
      <c r="G103" s="6">
        <f t="shared" si="43"/>
        <v>0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162</v>
      </c>
      <c r="C104" s="11">
        <f>MAX((Inputs!B18+((1+(1-Inputs!B22)*(Inputs!B36/(1-Inputs!B36)))/(1+(1-Inputs!B22)*0.25))*Inputs!B19+IF(ISBLANK(C17),Inputs!B24,C17)+Inputs!B25+Inputs!B39)*(1-Inputs!B36)+Inputs!B38*Inputs!B36,C15)</f>
        <v>7.106058373214566E-2</v>
      </c>
      <c r="D104" s="11">
        <f>MAX((Inputs!B18+((1+(1-Inputs!B22)*(Inputs!B36/(1-Inputs!B36)))/(1+(1-Inputs!B22)*0.25))*Inputs!B19+IF(ISBLANK(D17),Inputs!B24,D17)+Inputs!B25+Inputs!B39)*(1-Inputs!B36)+Inputs!B38*Inputs!B36,D15)</f>
        <v>7.106058373214566E-2</v>
      </c>
      <c r="E104" s="11">
        <f>MAX((Inputs!B18+((1+(1-Inputs!B22)*(Inputs!B36/(1-Inputs!B36)))/(1+(1-Inputs!B22)*0.25))*Inputs!B19+IF(ISBLANK(E17),Inputs!B24,E17)+Inputs!B25+Inputs!B39)*(1-Inputs!B36)+Inputs!B38*Inputs!B36,E15)</f>
        <v>7.4575383732145673E-2</v>
      </c>
      <c r="F104" s="11">
        <f>MAX((Inputs!B18+((1+(1-Inputs!B22)*(Inputs!B36/(1-Inputs!B36)))/(1+(1-Inputs!B22)*0.25))*Inputs!B19+IF(ISBLANK(F17),Inputs!B24,F17)+Inputs!B25+Inputs!B39)*(1-Inputs!B36)+Inputs!B38*Inputs!B36,F15)</f>
        <v>7.106058373214566E-2</v>
      </c>
      <c r="G104" s="11">
        <f>MAX((Inputs!B18+((1+(1-Inputs!B22)*(Inputs!B36/(1-Inputs!B36)))/(1+(1-Inputs!B22)*0.25))*Inputs!B19+IF(ISBLANK(G17),Inputs!B24,G17)+Inputs!B25+Inputs!B39)*(1-Inputs!B36)+Inputs!B38*Inputs!B36,G15)</f>
        <v>7.106058373214566E-2</v>
      </c>
      <c r="H104" s="11">
        <f>MAX((Inputs!B18+((1+(1-Inputs!B22)*(Inputs!B36/(1-Inputs!B36)))/(1+(1-Inputs!B22)*0.25))*Inputs!B19+IF(ISBLANK(H17),Inputs!B24,H17)+Inputs!B25+Inputs!B39)*(1-Inputs!B36)+Inputs!B38*Inputs!B36,H15)</f>
        <v>7.106058373214566E-2</v>
      </c>
      <c r="I104" s="11">
        <f>MAX((Inputs!B18+((1+(1-Inputs!B22)*(Inputs!B36/(1-Inputs!B36)))/(1+(1-Inputs!B22)*0.25))*Inputs!B19+IF(ISBLANK(I17),Inputs!B24,I17)+Inputs!B25+Inputs!B39)*(1-Inputs!B36)+Inputs!B38*Inputs!B36,I15)</f>
        <v>7.106058373214566E-2</v>
      </c>
      <c r="J104" s="11">
        <f>MAX((Inputs!B18+((1+(1-Inputs!B22)*(Inputs!B36/(1-Inputs!B36)))/(1+(1-Inputs!B22)*0.25))*Inputs!B19+IF(ISBLANK(J17),Inputs!B24,J17)+Inputs!B25+Inputs!B39)*(1-Inputs!B36)+Inputs!B38*Inputs!B36,J15)</f>
        <v>7.106058373214566E-2</v>
      </c>
    </row>
    <row r="105" spans="1:11" x14ac:dyDescent="0.25">
      <c r="A105" s="4" t="s">
        <v>163</v>
      </c>
      <c r="C105" s="6">
        <f t="shared" ref="C105:J105" si="44">SUM(C57:C61,C99:C103)</f>
        <v>35362.216542239752</v>
      </c>
      <c r="D105" s="6">
        <f t="shared" si="44"/>
        <v>0</v>
      </c>
      <c r="E105" s="6">
        <f t="shared" si="44"/>
        <v>15117.811743196688</v>
      </c>
      <c r="F105" s="6">
        <f t="shared" si="44"/>
        <v>573.07447419308437</v>
      </c>
      <c r="G105" s="6">
        <f t="shared" si="44"/>
        <v>0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164</v>
      </c>
      <c r="C106" s="6">
        <f t="shared" ref="C106:J106" si="45">IF(C5=0,0,C97*(1+C13)/(C104-C13))</f>
        <v>90556.773749051266</v>
      </c>
      <c r="D106" s="6">
        <f t="shared" si="45"/>
        <v>0</v>
      </c>
      <c r="E106" s="6">
        <f t="shared" si="45"/>
        <v>45179.720986513064</v>
      </c>
      <c r="F106" s="6">
        <f t="shared" si="45"/>
        <v>2334.743780185283</v>
      </c>
      <c r="G106" s="6">
        <f t="shared" si="45"/>
        <v>0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165</v>
      </c>
      <c r="C107" s="6">
        <f t="shared" ref="C107:J107" si="46">C106/(((1+C16)*(1+C16+(C104-C16)*1/5)*(1+C16+(C104-C16)*2/5)*(1+C16+(C104-C16)*3/5)*(1+C16+(C104-C16)*4/5))*(1+C104)^5)</f>
        <v>47640.156192058814</v>
      </c>
      <c r="D107" s="6">
        <f t="shared" si="46"/>
        <v>0</v>
      </c>
      <c r="E107" s="6">
        <f t="shared" si="46"/>
        <v>23010.045573570995</v>
      </c>
      <c r="F107" s="6">
        <f t="shared" si="46"/>
        <v>1172.3615567971087</v>
      </c>
      <c r="G107" s="6">
        <f t="shared" si="46"/>
        <v>0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166</v>
      </c>
      <c r="C109" s="20">
        <f t="shared" ref="C109:J109" si="47">C105+C107</f>
        <v>83002.372734298566</v>
      </c>
      <c r="D109" s="20">
        <f t="shared" si="47"/>
        <v>0</v>
      </c>
      <c r="E109" s="20">
        <f t="shared" si="47"/>
        <v>38127.85731676768</v>
      </c>
      <c r="F109" s="20">
        <f t="shared" si="47"/>
        <v>1745.4360309901931</v>
      </c>
      <c r="G109" s="20">
        <f t="shared" si="47"/>
        <v>0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122875.66608205644</v>
      </c>
    </row>
    <row r="110" spans="1:11" x14ac:dyDescent="0.25">
      <c r="A110" s="4" t="s">
        <v>167</v>
      </c>
      <c r="K110" s="11">
        <f>IFERROR(SUMPRODUCT(C109:J109,C16:J16)/SUM(C109:J109),0)</f>
        <v>5.6639568562155213E-2</v>
      </c>
    </row>
    <row r="111" spans="1:11" x14ac:dyDescent="0.25">
      <c r="A111" s="4" t="s">
        <v>168</v>
      </c>
      <c r="K111" s="5">
        <f>102334-SUM(B135:J135)</f>
        <v>32055.323499999999</v>
      </c>
    </row>
    <row r="112" spans="1:11" x14ac:dyDescent="0.25">
      <c r="A112" s="4" t="s">
        <v>169</v>
      </c>
      <c r="K112" s="5">
        <v>4490</v>
      </c>
    </row>
    <row r="113" spans="1:11" x14ac:dyDescent="0.25">
      <c r="A113" s="4" t="s">
        <v>170</v>
      </c>
      <c r="K113" s="5">
        <v>-28421.10569707047</v>
      </c>
    </row>
    <row r="114" spans="1:11" x14ac:dyDescent="0.25">
      <c r="A114" s="4" t="s">
        <v>171</v>
      </c>
      <c r="K114" s="5">
        <f>0+SUM(B134:J134)</f>
        <v>94356.212551439981</v>
      </c>
    </row>
    <row r="115" spans="1:11" x14ac:dyDescent="0.25">
      <c r="A115" s="4" t="s">
        <v>172</v>
      </c>
      <c r="K115" s="5">
        <v>0</v>
      </c>
    </row>
    <row r="116" spans="1:11" x14ac:dyDescent="0.25">
      <c r="A116" s="4" t="s">
        <v>173</v>
      </c>
      <c r="K116" s="5">
        <v>-92.5</v>
      </c>
    </row>
    <row r="117" spans="1:11" x14ac:dyDescent="0.25">
      <c r="A117" s="4" t="s">
        <v>174</v>
      </c>
      <c r="K117" s="5">
        <v>0</v>
      </c>
    </row>
    <row r="118" spans="1:11" x14ac:dyDescent="0.25">
      <c r="A118" s="4" t="s">
        <v>175</v>
      </c>
      <c r="K118" s="5">
        <v>0</v>
      </c>
    </row>
    <row r="119" spans="1:11" x14ac:dyDescent="0.25">
      <c r="A119" s="4" t="s">
        <v>176</v>
      </c>
      <c r="K119" s="20">
        <f>K109+K113+K114+K115+K116+K117+K118+K121-K111-K112</f>
        <v>150501.94943642596</v>
      </c>
    </row>
    <row r="120" spans="1:11" x14ac:dyDescent="0.25">
      <c r="A120" s="4" t="s">
        <v>177</v>
      </c>
      <c r="K120" s="6">
        <f>Inputs!B11</f>
        <v>4871</v>
      </c>
    </row>
    <row r="121" spans="1:11" x14ac:dyDescent="0.25">
      <c r="A121" s="4" t="s">
        <v>178</v>
      </c>
      <c r="K121" s="21">
        <f>-(Inputs!B41+Inputs!B42)</f>
        <v>-1671</v>
      </c>
    </row>
    <row r="122" spans="1:11" ht="15.75" customHeight="1" x14ac:dyDescent="0.25">
      <c r="A122" s="4" t="s">
        <v>179</v>
      </c>
      <c r="K122" s="22">
        <f>K119/K120</f>
        <v>30.897546589288844</v>
      </c>
    </row>
    <row r="124" spans="1:11" x14ac:dyDescent="0.25">
      <c r="A124" t="s">
        <v>180</v>
      </c>
    </row>
    <row r="125" spans="1:11" x14ac:dyDescent="0.25">
      <c r="A125" t="s">
        <v>181</v>
      </c>
      <c r="B125" t="s">
        <v>182</v>
      </c>
    </row>
    <row r="126" spans="1:11" x14ac:dyDescent="0.25">
      <c r="A126" t="s">
        <v>183</v>
      </c>
      <c r="B126" t="s">
        <v>184</v>
      </c>
    </row>
    <row r="127" spans="1:11" x14ac:dyDescent="0.25">
      <c r="A127" t="s">
        <v>185</v>
      </c>
      <c r="B127" t="s">
        <v>186</v>
      </c>
    </row>
    <row r="128" spans="1:11" x14ac:dyDescent="0.25">
      <c r="A128" t="s">
        <v>187</v>
      </c>
      <c r="B128">
        <v>0.86109999999999998</v>
      </c>
    </row>
    <row r="129" spans="1:2" x14ac:dyDescent="0.25">
      <c r="A129" t="s">
        <v>188</v>
      </c>
      <c r="B129">
        <v>294798.59999999998</v>
      </c>
    </row>
    <row r="130" spans="1:2" x14ac:dyDescent="0.25">
      <c r="A130" t="s">
        <v>189</v>
      </c>
      <c r="B130">
        <v>81615</v>
      </c>
    </row>
    <row r="131" spans="1:2" x14ac:dyDescent="0.25">
      <c r="A131" t="s">
        <v>190</v>
      </c>
      <c r="B131">
        <f>B129-B130</f>
        <v>213183.59999999998</v>
      </c>
    </row>
    <row r="132" spans="1:2" x14ac:dyDescent="0.25">
      <c r="A132" t="s">
        <v>191</v>
      </c>
      <c r="B132">
        <v>0.51400000000000001</v>
      </c>
    </row>
    <row r="133" spans="1:2" x14ac:dyDescent="0.25">
      <c r="A133" t="s">
        <v>192</v>
      </c>
      <c r="B133">
        <f>B131*B132</f>
        <v>109576.37039999999</v>
      </c>
    </row>
    <row r="134" spans="1:2" x14ac:dyDescent="0.25">
      <c r="A134" t="s">
        <v>193</v>
      </c>
      <c r="B134">
        <f>B133*B128*(1+B143)</f>
        <v>94356.212551439981</v>
      </c>
    </row>
    <row r="135" spans="1:2" x14ac:dyDescent="0.25">
      <c r="A135" t="s">
        <v>194</v>
      </c>
      <c r="B135">
        <f>B130*B128</f>
        <v>70278.676500000001</v>
      </c>
    </row>
    <row r="136" spans="1:2" x14ac:dyDescent="0.25">
      <c r="A136" t="s">
        <v>195</v>
      </c>
    </row>
    <row r="137" spans="1:2" x14ac:dyDescent="0.25">
      <c r="A137" t="s">
        <v>196</v>
      </c>
      <c r="B137" t="s">
        <v>197</v>
      </c>
    </row>
    <row r="138" spans="1:2" x14ac:dyDescent="0.25">
      <c r="A138" t="s">
        <v>198</v>
      </c>
      <c r="B138" t="s">
        <v>199</v>
      </c>
    </row>
    <row r="139" spans="1:2" x14ac:dyDescent="0.25">
      <c r="A139" t="s">
        <v>200</v>
      </c>
      <c r="B139" t="s">
        <v>201</v>
      </c>
    </row>
    <row r="140" spans="1:2" x14ac:dyDescent="0.25">
      <c r="A140" t="s">
        <v>202</v>
      </c>
      <c r="B140" t="s">
        <v>203</v>
      </c>
    </row>
    <row r="141" spans="1:2" x14ac:dyDescent="0.25">
      <c r="A141" t="s">
        <v>204</v>
      </c>
      <c r="B141" t="s">
        <v>205</v>
      </c>
    </row>
    <row r="142" spans="1:2" x14ac:dyDescent="0.25">
      <c r="A142" t="s">
        <v>206</v>
      </c>
      <c r="B142">
        <f>ABS(B134)*0.1/Inputs!B11</f>
        <v>1.9371014689271193</v>
      </c>
    </row>
    <row r="143" spans="1:2" x14ac:dyDescent="0.25">
      <c r="A143" t="s">
        <v>207</v>
      </c>
      <c r="B143">
        <v>0</v>
      </c>
    </row>
  </sheetData>
  <pageMargins left="0.75" right="0.75" top="1" bottom="1" header="0.5" footer="0.5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43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208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67</v>
      </c>
      <c r="E4" s="14" t="s">
        <v>59</v>
      </c>
      <c r="F4" s="14" t="s">
        <v>60</v>
      </c>
      <c r="G4" s="14"/>
      <c r="H4" s="14"/>
      <c r="I4" s="14"/>
      <c r="J4" s="14"/>
    </row>
    <row r="5" spans="1:11" x14ac:dyDescent="0.25">
      <c r="A5" s="4" t="s">
        <v>68</v>
      </c>
      <c r="C5" s="5">
        <v>25610</v>
      </c>
      <c r="D5" s="5"/>
      <c r="E5" s="5">
        <v>12652</v>
      </c>
      <c r="F5" s="5">
        <v>4103</v>
      </c>
      <c r="G5" s="5"/>
      <c r="H5" s="5"/>
      <c r="I5" s="5"/>
      <c r="J5" s="5"/>
    </row>
    <row r="6" spans="1:11" x14ac:dyDescent="0.25">
      <c r="A6" s="4" t="s">
        <v>69</v>
      </c>
      <c r="C6" s="7">
        <v>2.3E-2</v>
      </c>
      <c r="D6" s="7"/>
      <c r="E6" s="7">
        <v>3.4000000000000002E-2</v>
      </c>
      <c r="F6" s="7">
        <v>6.30774897350313E-2</v>
      </c>
      <c r="G6" s="7"/>
      <c r="H6" s="7"/>
      <c r="I6" s="7"/>
      <c r="J6" s="7"/>
    </row>
    <row r="7" spans="1:11" x14ac:dyDescent="0.25">
      <c r="A7" s="4" t="s">
        <v>70</v>
      </c>
      <c r="C7" s="7">
        <v>0.26807748973503132</v>
      </c>
      <c r="D7" s="7"/>
      <c r="E7" s="7">
        <v>0.23307748973503131</v>
      </c>
      <c r="F7" s="7">
        <v>5.9154979470062603E-2</v>
      </c>
      <c r="G7" s="7"/>
      <c r="H7" s="7"/>
      <c r="I7" s="7"/>
      <c r="J7" s="7"/>
    </row>
    <row r="8" spans="1:11" x14ac:dyDescent="0.25">
      <c r="A8" s="4" t="s">
        <v>71</v>
      </c>
      <c r="C8" s="15">
        <v>0.25</v>
      </c>
      <c r="D8" s="15"/>
      <c r="E8" s="15">
        <v>0.218</v>
      </c>
      <c r="F8" s="15">
        <v>2.3E-2</v>
      </c>
      <c r="G8" s="15"/>
      <c r="H8" s="15"/>
      <c r="I8" s="15"/>
      <c r="J8" s="15"/>
    </row>
    <row r="9" spans="1:11" x14ac:dyDescent="0.25">
      <c r="A9" s="4" t="s">
        <v>72</v>
      </c>
      <c r="C9" s="7">
        <v>0.28000000000000003</v>
      </c>
      <c r="D9" s="7"/>
      <c r="E9" s="7">
        <v>0.255</v>
      </c>
      <c r="F9" s="7">
        <v>7.6154979470062611E-2</v>
      </c>
      <c r="G9" s="7"/>
      <c r="H9" s="7"/>
      <c r="I9" s="7"/>
      <c r="J9" s="7"/>
    </row>
    <row r="10" spans="1:11" x14ac:dyDescent="0.25">
      <c r="A10" s="4" t="s">
        <v>73</v>
      </c>
      <c r="C10" s="7">
        <v>0.19</v>
      </c>
      <c r="D10" s="7"/>
      <c r="E10" s="7">
        <v>0.16</v>
      </c>
      <c r="F10" s="7">
        <v>5.3999999999999999E-2</v>
      </c>
      <c r="G10" s="7"/>
      <c r="H10" s="7"/>
      <c r="I10" s="7"/>
      <c r="J10" s="7"/>
    </row>
    <row r="11" spans="1:11" x14ac:dyDescent="0.25">
      <c r="A11" s="4" t="s">
        <v>74</v>
      </c>
      <c r="C11" s="7">
        <v>0.17499999999999999</v>
      </c>
      <c r="D11" s="7"/>
      <c r="E11" s="7">
        <v>0.20599999999999999</v>
      </c>
      <c r="F11" s="7">
        <v>6.0999999999999999E-2</v>
      </c>
      <c r="G11" s="7"/>
      <c r="H11" s="7"/>
      <c r="I11" s="7"/>
      <c r="J11" s="7"/>
    </row>
    <row r="12" spans="1:11" x14ac:dyDescent="0.25">
      <c r="A12" s="4" t="s">
        <v>75</v>
      </c>
      <c r="C12" s="7">
        <v>1.4999999999999999E-2</v>
      </c>
      <c r="D12" s="7"/>
      <c r="E12" s="7">
        <v>0.02</v>
      </c>
      <c r="F12" s="7">
        <v>0.01</v>
      </c>
      <c r="G12" s="7"/>
      <c r="H12" s="7"/>
      <c r="I12" s="7"/>
      <c r="J12" s="7"/>
    </row>
    <row r="13" spans="1:11" x14ac:dyDescent="0.25">
      <c r="A13" s="4" t="s">
        <v>76</v>
      </c>
      <c r="C13" s="7">
        <v>1.6519372433757829E-2</v>
      </c>
      <c r="D13" s="7"/>
      <c r="E13" s="7">
        <v>2.4519372433757829E-2</v>
      </c>
      <c r="F13" s="7">
        <v>2.4519372433757829E-2</v>
      </c>
      <c r="G13" s="7"/>
      <c r="H13" s="7"/>
      <c r="I13" s="7"/>
      <c r="J13" s="7"/>
    </row>
    <row r="14" spans="1:11" x14ac:dyDescent="0.25">
      <c r="A14" s="4" t="s">
        <v>77</v>
      </c>
      <c r="C14" s="9">
        <v>0.48699999999999999</v>
      </c>
      <c r="D14" s="9"/>
      <c r="E14" s="9">
        <v>0.48699999999999999</v>
      </c>
      <c r="F14" s="9">
        <v>0.97399999999999998</v>
      </c>
      <c r="G14" s="9"/>
      <c r="H14" s="9"/>
      <c r="I14" s="9"/>
      <c r="J14" s="9"/>
    </row>
    <row r="15" spans="1:11" x14ac:dyDescent="0.25">
      <c r="A15" s="4" t="s">
        <v>78</v>
      </c>
      <c r="C15" s="7">
        <v>0</v>
      </c>
      <c r="D15" s="7"/>
      <c r="E15" s="7">
        <v>0</v>
      </c>
      <c r="F15" s="7">
        <v>0</v>
      </c>
      <c r="G15" s="7"/>
      <c r="H15" s="7"/>
      <c r="I15" s="7"/>
      <c r="J15" s="7"/>
    </row>
    <row r="16" spans="1:11" x14ac:dyDescent="0.25">
      <c r="A16" s="4" t="s">
        <v>79</v>
      </c>
      <c r="C16" s="11">
        <f>MAX((MAX(Inputs!B18+((1-0.33)*C14*(1+(1-Inputs!B22)*Inputs!B21)+0.33)*Inputs!B19+IF(ISBLANK(C17),Inputs!B24,C17)+Inputs!B25+Inputs!B39,MIN(Inputs!B27,0.08)+0.025))*Inputs!B29+Inputs!B28*Inputs!B30,C15)</f>
        <v>5.5367915057490572E-2</v>
      </c>
      <c r="D16" s="11">
        <f>MAX((MAX(Inputs!B18+((1-0.33)*D14*(1+(1-Inputs!B22)*Inputs!B21)+0.33)*Inputs!B19+IF(ISBLANK(D17),Inputs!B24,D17)+Inputs!B25+Inputs!B39,MIN(Inputs!B27,0.08)+0.025))*Inputs!B29+Inputs!B28*Inputs!B30,D15)</f>
        <v>5.1135844097995549E-2</v>
      </c>
      <c r="E16" s="11">
        <f>MAX((MAX(Inputs!B18+((1-0.33)*E14*(1+(1-Inputs!B22)*Inputs!B21)+0.33)*Inputs!B19+IF(ISBLANK(E17),Inputs!B24,E17)+Inputs!B25+Inputs!B39,MIN(Inputs!B27,0.08)+0.025))*Inputs!B29+Inputs!B28*Inputs!B30,E15)</f>
        <v>5.8708672295797924E-2</v>
      </c>
      <c r="F16" s="11">
        <f>MAX((MAX(Inputs!B18+((1-0.33)*F14*(1+(1-Inputs!B22)*Inputs!B21)+0.33)*Inputs!B19+IF(ISBLANK(F17),Inputs!B24,F17)+Inputs!B25+Inputs!B39,MIN(Inputs!B27,0.08)+0.025))*Inputs!B29+Inputs!B28*Inputs!B30,F15)</f>
        <v>7.191355499293095E-2</v>
      </c>
      <c r="G16" s="11">
        <f>MAX((MAX(Inputs!B18+((1-0.33)*G14*(1+(1-Inputs!B22)*Inputs!B21)+0.33)*Inputs!B19+IF(ISBLANK(G17),Inputs!B24,G17)+Inputs!B25+Inputs!B39,MIN(Inputs!B27,0.08)+0.025))*Inputs!B29+Inputs!B28*Inputs!B30,G15)</f>
        <v>5.1135844097995549E-2</v>
      </c>
      <c r="H16" s="11">
        <f>MAX((MAX(Inputs!B18+((1-0.33)*H14*(1+(1-Inputs!B22)*Inputs!B21)+0.33)*Inputs!B19+IF(ISBLANK(H17),Inputs!B24,H17)+Inputs!B25+Inputs!B39,MIN(Inputs!B27,0.08)+0.025))*Inputs!B29+Inputs!B28*Inputs!B30,H15)</f>
        <v>5.1135844097995549E-2</v>
      </c>
      <c r="I16" s="11">
        <f>MAX((MAX(Inputs!B18+((1-0.33)*I14*(1+(1-Inputs!B22)*Inputs!B21)+0.33)*Inputs!B19+IF(ISBLANK(I17),Inputs!B24,I17)+Inputs!B25+Inputs!B39,MIN(Inputs!B27,0.08)+0.025))*Inputs!B29+Inputs!B28*Inputs!B30,I15)</f>
        <v>5.1135844097995549E-2</v>
      </c>
      <c r="J16" s="11">
        <f>MAX((MAX(Inputs!B18+((1-0.33)*J14*(1+(1-Inputs!B22)*Inputs!B21)+0.33)*Inputs!B19+IF(ISBLANK(J17),Inputs!B24,J17)+Inputs!B25+Inputs!B39,MIN(Inputs!B27,0.08)+0.025))*Inputs!B29+Inputs!B28*Inputs!B30,J15)</f>
        <v>5.1135844097995549E-2</v>
      </c>
    </row>
    <row r="17" spans="1:10" x14ac:dyDescent="0.25">
      <c r="A17" s="16" t="s">
        <v>80</v>
      </c>
      <c r="C17" s="7"/>
      <c r="D17" s="7"/>
      <c r="E17" s="7">
        <v>7.0000000000000001E-3</v>
      </c>
      <c r="F17" s="7"/>
      <c r="G17" s="7"/>
      <c r="H17" s="7"/>
      <c r="I17" s="7"/>
      <c r="J17" s="7"/>
    </row>
    <row r="18" spans="1:10" ht="39.950000000000003" customHeight="1" x14ac:dyDescent="0.25">
      <c r="A18" s="17" t="s">
        <v>81</v>
      </c>
      <c r="C18" s="18" t="s">
        <v>209</v>
      </c>
      <c r="D18" s="36" t="s">
        <v>83</v>
      </c>
      <c r="E18" s="18" t="s">
        <v>210</v>
      </c>
      <c r="F18" s="18" t="s">
        <v>211</v>
      </c>
      <c r="G18" s="18"/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212</v>
      </c>
      <c r="D19" s="18"/>
      <c r="E19" s="18" t="s">
        <v>213</v>
      </c>
      <c r="F19" s="18" t="s">
        <v>214</v>
      </c>
      <c r="G19" s="18"/>
      <c r="H19" s="18"/>
      <c r="I19" s="18"/>
      <c r="J19" s="18"/>
    </row>
    <row r="21" spans="1:10" x14ac:dyDescent="0.25">
      <c r="A21" s="4" t="s">
        <v>90</v>
      </c>
      <c r="C21" s="6">
        <f t="shared" ref="C21:J21" si="0">C5*(1+C6)^1</f>
        <v>26199.03</v>
      </c>
      <c r="D21" s="6">
        <f t="shared" si="0"/>
        <v>0</v>
      </c>
      <c r="E21" s="6">
        <f t="shared" si="0"/>
        <v>13082.168</v>
      </c>
      <c r="F21" s="6">
        <f t="shared" si="0"/>
        <v>4361.8069403828331</v>
      </c>
      <c r="G21" s="6">
        <f t="shared" si="0"/>
        <v>0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91</v>
      </c>
      <c r="C22" s="6">
        <f t="shared" ref="C22:J22" si="1">C5*(1+C6)^2</f>
        <v>26801.607689999997</v>
      </c>
      <c r="D22" s="6">
        <f t="shared" si="1"/>
        <v>0</v>
      </c>
      <c r="E22" s="6">
        <f t="shared" si="1"/>
        <v>13526.961712</v>
      </c>
      <c r="F22" s="6">
        <f t="shared" si="1"/>
        <v>4636.9387728910197</v>
      </c>
      <c r="G22" s="6">
        <f t="shared" si="1"/>
        <v>0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92</v>
      </c>
      <c r="C23" s="6">
        <f t="shared" ref="C23:J23" si="2">C5*(1+C6)^3</f>
        <v>27418.044666869991</v>
      </c>
      <c r="D23" s="6">
        <f t="shared" si="2"/>
        <v>0</v>
      </c>
      <c r="E23" s="6">
        <f t="shared" si="2"/>
        <v>13986.878410208001</v>
      </c>
      <c r="F23" s="6">
        <f t="shared" si="2"/>
        <v>4929.4252307400211</v>
      </c>
      <c r="G23" s="6">
        <f t="shared" si="2"/>
        <v>0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93</v>
      </c>
      <c r="C24" s="6">
        <f t="shared" ref="C24:J24" si="3">C5*(1+C6)^4</f>
        <v>28048.659694208</v>
      </c>
      <c r="D24" s="6">
        <f t="shared" si="3"/>
        <v>0</v>
      </c>
      <c r="E24" s="6">
        <f t="shared" si="3"/>
        <v>14462.43227615507</v>
      </c>
      <c r="F24" s="6">
        <f t="shared" si="3"/>
        <v>5240.3610001316283</v>
      </c>
      <c r="G24" s="6">
        <f t="shared" si="3"/>
        <v>0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94</v>
      </c>
      <c r="C25" s="6">
        <f t="shared" ref="C25:J25" si="4">C5*(1+C6)^5</f>
        <v>28693.77886717478</v>
      </c>
      <c r="D25" s="6">
        <f t="shared" si="4"/>
        <v>0</v>
      </c>
      <c r="E25" s="6">
        <f t="shared" si="4"/>
        <v>14954.154973544342</v>
      </c>
      <c r="F25" s="6">
        <f t="shared" si="4"/>
        <v>5570.9098173252896</v>
      </c>
      <c r="G25" s="6">
        <f t="shared" si="4"/>
        <v>0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95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96</v>
      </c>
      <c r="C27" s="11">
        <f t="shared" ref="C27:J27" si="5">IF(ISBLANK(C9),C7,C7+(C9-C7)*(0)/4)</f>
        <v>0.26807748973503132</v>
      </c>
      <c r="D27" s="11">
        <f t="shared" si="5"/>
        <v>0</v>
      </c>
      <c r="E27" s="11">
        <f t="shared" si="5"/>
        <v>0.23307748973503131</v>
      </c>
      <c r="F27" s="11">
        <f t="shared" si="5"/>
        <v>5.9154979470062603E-2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97</v>
      </c>
      <c r="C28" s="11">
        <f t="shared" ref="C28:J28" si="6">IF(ISBLANK(C9),C7,C7+(C9-C7)*(1)/4)</f>
        <v>0.27105811730127349</v>
      </c>
      <c r="D28" s="11">
        <f t="shared" si="6"/>
        <v>0</v>
      </c>
      <c r="E28" s="11">
        <f t="shared" si="6"/>
        <v>0.23855811730127349</v>
      </c>
      <c r="F28" s="11">
        <f t="shared" si="6"/>
        <v>6.34049794700626E-2</v>
      </c>
      <c r="G28" s="11">
        <f t="shared" si="6"/>
        <v>0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98</v>
      </c>
      <c r="C29" s="11">
        <f t="shared" ref="C29:J29" si="7">IF(ISBLANK(C9),C7,C7+(C9-C7)*(2)/4)</f>
        <v>0.27403874486751567</v>
      </c>
      <c r="D29" s="11">
        <f t="shared" si="7"/>
        <v>0</v>
      </c>
      <c r="E29" s="11">
        <f t="shared" si="7"/>
        <v>0.24403874486751564</v>
      </c>
      <c r="F29" s="11">
        <f t="shared" si="7"/>
        <v>6.7654979470062604E-2</v>
      </c>
      <c r="G29" s="11">
        <f t="shared" si="7"/>
        <v>0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99</v>
      </c>
      <c r="C30" s="11">
        <f t="shared" ref="C30:J30" si="8">IF(ISBLANK(C9),C7,C7+(C9-C7)*(3)/4)</f>
        <v>0.27701937243375785</v>
      </c>
      <c r="D30" s="11">
        <f t="shared" si="8"/>
        <v>0</v>
      </c>
      <c r="E30" s="11">
        <f t="shared" si="8"/>
        <v>0.24951937243375782</v>
      </c>
      <c r="F30" s="11">
        <f t="shared" si="8"/>
        <v>7.1904979470062608E-2</v>
      </c>
      <c r="G30" s="11">
        <f t="shared" si="8"/>
        <v>0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100</v>
      </c>
      <c r="C31" s="11">
        <f t="shared" ref="C31:J31" si="9">IF(ISBLANK(C9),C7,C7+(C9-C7)*(4)/4)</f>
        <v>0.28000000000000003</v>
      </c>
      <c r="D31" s="11">
        <f t="shared" si="9"/>
        <v>0</v>
      </c>
      <c r="E31" s="11">
        <f t="shared" si="9"/>
        <v>0.255</v>
      </c>
      <c r="F31" s="11">
        <f t="shared" si="9"/>
        <v>7.6154979470062611E-2</v>
      </c>
      <c r="G31" s="11">
        <f t="shared" si="9"/>
        <v>0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101</v>
      </c>
      <c r="C33" s="6">
        <f t="shared" ref="C33:J37" si="10">C21*C27</f>
        <v>7023.3701958927768</v>
      </c>
      <c r="D33" s="6">
        <f t="shared" si="10"/>
        <v>0</v>
      </c>
      <c r="E33" s="6">
        <f t="shared" si="10"/>
        <v>3049.1588777319548</v>
      </c>
      <c r="F33" s="6">
        <f t="shared" si="10"/>
        <v>258.02260001072307</v>
      </c>
      <c r="G33" s="6">
        <f t="shared" si="10"/>
        <v>0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102</v>
      </c>
      <c r="C34" s="6">
        <f t="shared" si="10"/>
        <v>7264.793321098733</v>
      </c>
      <c r="D34" s="6">
        <f t="shared" si="10"/>
        <v>0</v>
      </c>
      <c r="E34" s="6">
        <f t="shared" si="10"/>
        <v>3226.9665188211316</v>
      </c>
      <c r="F34" s="6">
        <f t="shared" si="10"/>
        <v>294.00500769909235</v>
      </c>
      <c r="G34" s="6">
        <f t="shared" si="10"/>
        <v>0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103</v>
      </c>
      <c r="C35" s="6">
        <f t="shared" si="10"/>
        <v>7513.6065472305345</v>
      </c>
      <c r="D35" s="6">
        <f t="shared" si="10"/>
        <v>0</v>
      </c>
      <c r="E35" s="6">
        <f t="shared" si="10"/>
        <v>3413.3402518417133</v>
      </c>
      <c r="F35" s="6">
        <f t="shared" si="10"/>
        <v>333.50016278492473</v>
      </c>
      <c r="G35" s="6">
        <f t="shared" si="10"/>
        <v>0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104</v>
      </c>
      <c r="C36" s="6">
        <f t="shared" si="10"/>
        <v>7770.0221060975382</v>
      </c>
      <c r="D36" s="6">
        <f t="shared" si="10"/>
        <v>0</v>
      </c>
      <c r="E36" s="6">
        <f t="shared" si="10"/>
        <v>3608.657025411937</v>
      </c>
      <c r="F36" s="6">
        <f t="shared" si="10"/>
        <v>376.80805013018147</v>
      </c>
      <c r="G36" s="6">
        <f t="shared" si="10"/>
        <v>0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105</v>
      </c>
      <c r="C37" s="6">
        <f t="shared" si="10"/>
        <v>8034.2580828089394</v>
      </c>
      <c r="D37" s="6">
        <f t="shared" si="10"/>
        <v>0</v>
      </c>
      <c r="E37" s="6">
        <f t="shared" si="10"/>
        <v>3813.3095182538073</v>
      </c>
      <c r="F37" s="6">
        <f t="shared" si="10"/>
        <v>424.25252276797767</v>
      </c>
      <c r="G37" s="6">
        <f t="shared" si="10"/>
        <v>0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106</v>
      </c>
      <c r="C39" s="6">
        <f>C33*(1-Inputs!B22)</f>
        <v>5218.3640555483335</v>
      </c>
      <c r="D39" s="6">
        <f>D33*(1-Inputs!B22)</f>
        <v>0</v>
      </c>
      <c r="E39" s="6">
        <f>E33*(1-Inputs!B22)</f>
        <v>2265.5250461548426</v>
      </c>
      <c r="F39" s="6">
        <f>F33*(1-Inputs!B22)</f>
        <v>191.71079180796724</v>
      </c>
      <c r="G39" s="6">
        <f>G33*(1-Inputs!B22)</f>
        <v>0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107</v>
      </c>
      <c r="C40" s="6">
        <f>C34*(1-Inputs!B22)</f>
        <v>5397.7414375763583</v>
      </c>
      <c r="D40" s="6">
        <f>D34*(1-Inputs!B22)</f>
        <v>0</v>
      </c>
      <c r="E40" s="6">
        <f>E34*(1-Inputs!B22)</f>
        <v>2397.6361234841006</v>
      </c>
      <c r="F40" s="6">
        <f>F34*(1-Inputs!B22)</f>
        <v>218.44572072042561</v>
      </c>
      <c r="G40" s="6">
        <f>G34*(1-Inputs!B22)</f>
        <v>0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108</v>
      </c>
      <c r="C41" s="6">
        <f>C35*(1-Inputs!B22)</f>
        <v>5582.6096645922871</v>
      </c>
      <c r="D41" s="6">
        <f>D35*(1-Inputs!B22)</f>
        <v>0</v>
      </c>
      <c r="E41" s="6">
        <f>E35*(1-Inputs!B22)</f>
        <v>2536.1118071183928</v>
      </c>
      <c r="F41" s="6">
        <f>F35*(1-Inputs!B22)</f>
        <v>247.79062094919908</v>
      </c>
      <c r="G41" s="6">
        <f>G35*(1-Inputs!B22)</f>
        <v>0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109</v>
      </c>
      <c r="C42" s="6">
        <f>C36*(1-Inputs!B22)</f>
        <v>5773.1264248304706</v>
      </c>
      <c r="D42" s="6">
        <f>D36*(1-Inputs!B22)</f>
        <v>0</v>
      </c>
      <c r="E42" s="6">
        <f>E36*(1-Inputs!B22)</f>
        <v>2681.2321698810692</v>
      </c>
      <c r="F42" s="6">
        <f>F36*(1-Inputs!B22)</f>
        <v>279.96838124672485</v>
      </c>
      <c r="G42" s="6">
        <f>G36*(1-Inputs!B22)</f>
        <v>0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110</v>
      </c>
      <c r="C43" s="6">
        <f>C37*(1-Inputs!B22)</f>
        <v>5969.4537555270417</v>
      </c>
      <c r="D43" s="6">
        <f>D37*(1-Inputs!B22)</f>
        <v>0</v>
      </c>
      <c r="E43" s="6">
        <f>E37*(1-Inputs!B22)</f>
        <v>2833.288972062579</v>
      </c>
      <c r="F43" s="6">
        <f>F37*(1-Inputs!B22)</f>
        <v>315.21962441660742</v>
      </c>
      <c r="G43" s="6">
        <f>G37*(1-Inputs!B22)</f>
        <v>0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111</v>
      </c>
      <c r="C45" s="6">
        <f t="shared" ref="C45:J45" si="11">C21*IF(ISBLANK(C26),C12,C12+(C26-C12)*(0)/4)</f>
        <v>392.98544999999996</v>
      </c>
      <c r="D45" s="6">
        <f t="shared" si="11"/>
        <v>0</v>
      </c>
      <c r="E45" s="6">
        <f t="shared" si="11"/>
        <v>261.64335999999997</v>
      </c>
      <c r="F45" s="6">
        <f t="shared" si="11"/>
        <v>43.618069403828329</v>
      </c>
      <c r="G45" s="6">
        <f t="shared" si="11"/>
        <v>0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112</v>
      </c>
      <c r="C46" s="6">
        <f t="shared" ref="C46:J46" si="12">C22*IF(ISBLANK(C26),C12,C12+(C26-C12)*(1)/4)</f>
        <v>402.02411534999993</v>
      </c>
      <c r="D46" s="6">
        <f t="shared" si="12"/>
        <v>0</v>
      </c>
      <c r="E46" s="6">
        <f t="shared" si="12"/>
        <v>270.53923423999998</v>
      </c>
      <c r="F46" s="6">
        <f t="shared" si="12"/>
        <v>46.369387728910198</v>
      </c>
      <c r="G46" s="6">
        <f t="shared" si="12"/>
        <v>0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113</v>
      </c>
      <c r="C47" s="6">
        <f t="shared" ref="C47:J47" si="13">C23*IF(ISBLANK(C26),C12,C12+(C26-C12)*(2)/4)</f>
        <v>411.27067000304987</v>
      </c>
      <c r="D47" s="6">
        <f t="shared" si="13"/>
        <v>0</v>
      </c>
      <c r="E47" s="6">
        <f t="shared" si="13"/>
        <v>279.73756820416003</v>
      </c>
      <c r="F47" s="6">
        <f t="shared" si="13"/>
        <v>49.294252307400214</v>
      </c>
      <c r="G47" s="6">
        <f t="shared" si="13"/>
        <v>0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114</v>
      </c>
      <c r="C48" s="6">
        <f t="shared" ref="C48:J48" si="14">C24*IF(ISBLANK(C26),C12,C12+(C26-C12)*(3)/4)</f>
        <v>420.72989541312</v>
      </c>
      <c r="D48" s="6">
        <f t="shared" si="14"/>
        <v>0</v>
      </c>
      <c r="E48" s="6">
        <f t="shared" si="14"/>
        <v>289.2486455231014</v>
      </c>
      <c r="F48" s="6">
        <f t="shared" si="14"/>
        <v>52.403610001316281</v>
      </c>
      <c r="G48" s="6">
        <f t="shared" si="14"/>
        <v>0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115</v>
      </c>
      <c r="C49" s="6">
        <f t="shared" ref="C49:J49" si="15">C25*IF(ISBLANK(C26),C12,C12+(C26-C12)*(4)/4)</f>
        <v>430.40668300762167</v>
      </c>
      <c r="D49" s="6">
        <f t="shared" si="15"/>
        <v>0</v>
      </c>
      <c r="E49" s="6">
        <f t="shared" si="15"/>
        <v>299.08309947088685</v>
      </c>
      <c r="F49" s="6">
        <f t="shared" si="15"/>
        <v>55.709098173252897</v>
      </c>
      <c r="G49" s="6">
        <f t="shared" si="15"/>
        <v>0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116</v>
      </c>
      <c r="C51" s="6">
        <f t="shared" ref="C51:J55" si="16">C39-C45</f>
        <v>4825.3786055483333</v>
      </c>
      <c r="D51" s="6">
        <f t="shared" si="16"/>
        <v>0</v>
      </c>
      <c r="E51" s="6">
        <f t="shared" si="16"/>
        <v>2003.8816861548426</v>
      </c>
      <c r="F51" s="6">
        <f t="shared" si="16"/>
        <v>148.0927224041389</v>
      </c>
      <c r="G51" s="6">
        <f t="shared" si="16"/>
        <v>0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117</v>
      </c>
      <c r="C52" s="6">
        <f t="shared" si="16"/>
        <v>4995.7173222263582</v>
      </c>
      <c r="D52" s="6">
        <f t="shared" si="16"/>
        <v>0</v>
      </c>
      <c r="E52" s="6">
        <f t="shared" si="16"/>
        <v>2127.0968892441006</v>
      </c>
      <c r="F52" s="6">
        <f t="shared" si="16"/>
        <v>172.07633299151541</v>
      </c>
      <c r="G52" s="6">
        <f t="shared" si="16"/>
        <v>0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118</v>
      </c>
      <c r="C53" s="6">
        <f t="shared" si="16"/>
        <v>5171.3389945892377</v>
      </c>
      <c r="D53" s="6">
        <f t="shared" si="16"/>
        <v>0</v>
      </c>
      <c r="E53" s="6">
        <f t="shared" si="16"/>
        <v>2256.3742389142326</v>
      </c>
      <c r="F53" s="6">
        <f t="shared" si="16"/>
        <v>198.49636864179888</v>
      </c>
      <c r="G53" s="6">
        <f t="shared" si="16"/>
        <v>0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119</v>
      </c>
      <c r="C54" s="6">
        <f t="shared" si="16"/>
        <v>5352.3965294173504</v>
      </c>
      <c r="D54" s="6">
        <f t="shared" si="16"/>
        <v>0</v>
      </c>
      <c r="E54" s="6">
        <f t="shared" si="16"/>
        <v>2391.9835243579678</v>
      </c>
      <c r="F54" s="6">
        <f t="shared" si="16"/>
        <v>227.56477124540856</v>
      </c>
      <c r="G54" s="6">
        <f t="shared" si="16"/>
        <v>0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120</v>
      </c>
      <c r="C55" s="6">
        <f t="shared" si="16"/>
        <v>5539.04707251942</v>
      </c>
      <c r="D55" s="6">
        <f t="shared" si="16"/>
        <v>0</v>
      </c>
      <c r="E55" s="6">
        <f t="shared" si="16"/>
        <v>2534.2058725916922</v>
      </c>
      <c r="F55" s="6">
        <f t="shared" si="16"/>
        <v>259.51052624335455</v>
      </c>
      <c r="G55" s="6">
        <f t="shared" si="16"/>
        <v>0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121</v>
      </c>
      <c r="C57" s="6">
        <f t="shared" ref="C57:J57" si="17">C51/((1+C16))</f>
        <v>4572.2240904826758</v>
      </c>
      <c r="D57" s="6">
        <f t="shared" si="17"/>
        <v>0</v>
      </c>
      <c r="E57" s="6">
        <f t="shared" si="17"/>
        <v>1892.7602451857201</v>
      </c>
      <c r="F57" s="6">
        <f t="shared" si="17"/>
        <v>138.15733714190742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122</v>
      </c>
      <c r="C58" s="6">
        <f t="shared" ref="C58:J58" si="18">C52/((1+C16)*(1+C16+(C104-C16)*1/5))</f>
        <v>4471.9862675937529</v>
      </c>
      <c r="D58" s="6">
        <f t="shared" si="18"/>
        <v>0</v>
      </c>
      <c r="E58" s="6">
        <f t="shared" si="18"/>
        <v>1892.0583985357466</v>
      </c>
      <c r="F58" s="6">
        <f t="shared" si="18"/>
        <v>149.78583331643699</v>
      </c>
      <c r="G58" s="6">
        <f t="shared" si="18"/>
        <v>0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123</v>
      </c>
      <c r="C59" s="6">
        <f t="shared" ref="C59:J59" si="19">C53/((1+C16)*(1+C16+(C104-C16)*1/5)*(1+C16+(C104-C16)*2/5))</f>
        <v>4360.3997017128804</v>
      </c>
      <c r="D59" s="6">
        <f t="shared" si="19"/>
        <v>0</v>
      </c>
      <c r="E59" s="6">
        <f t="shared" si="19"/>
        <v>1884.4569303289018</v>
      </c>
      <c r="F59" s="6">
        <f t="shared" si="19"/>
        <v>161.24292131522222</v>
      </c>
      <c r="G59" s="6">
        <f t="shared" si="19"/>
        <v>0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124</v>
      </c>
      <c r="C60" s="6">
        <f t="shared" ref="C60:J60" si="20">C54/((1+C16)*(1+C16+(C104-C16)*1/5)*(1+C16+(C104-C16)*2/5)*(1+C16+(C104-C16)*3/5))</f>
        <v>4238.4811357837443</v>
      </c>
      <c r="D60" s="6">
        <f t="shared" si="20"/>
        <v>0</v>
      </c>
      <c r="E60" s="6">
        <f t="shared" si="20"/>
        <v>1870.1180658667849</v>
      </c>
      <c r="F60" s="6">
        <f t="shared" si="20"/>
        <v>172.53641195153685</v>
      </c>
      <c r="G60" s="6">
        <f t="shared" si="20"/>
        <v>0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125</v>
      </c>
      <c r="C61" s="6">
        <f t="shared" ref="C61:J61" si="21">C55/((1+C16)*(1+C16+(C104-C16)*1/5)*(1+C16+(C104-C16)*2/5)*(1+C16+(C104-C16)*3/5)*(1+C16+(C104-C16)*4/5))</f>
        <v>4107.3099414419139</v>
      </c>
      <c r="D61" s="6">
        <f t="shared" si="21"/>
        <v>0</v>
      </c>
      <c r="E61" s="6">
        <f t="shared" si="21"/>
        <v>1849.2697479014189</v>
      </c>
      <c r="F61" s="6">
        <f t="shared" si="21"/>
        <v>183.6739245007719</v>
      </c>
      <c r="G61" s="6">
        <f t="shared" si="21"/>
        <v>0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126</v>
      </c>
    </row>
    <row r="63" spans="1:10" x14ac:dyDescent="0.25">
      <c r="A63" s="4" t="s">
        <v>127</v>
      </c>
      <c r="C63" s="6">
        <f t="shared" ref="C63:J63" si="22">C25*(1+(C6+(C13-C6)*1/5))</f>
        <v>29316.545042258545</v>
      </c>
      <c r="D63" s="6">
        <f t="shared" si="22"/>
        <v>0</v>
      </c>
      <c r="E63" s="6">
        <f t="shared" si="22"/>
        <v>15434.241287870444</v>
      </c>
      <c r="F63" s="6">
        <f t="shared" si="22"/>
        <v>5879.3480653001625</v>
      </c>
      <c r="G63" s="6">
        <f t="shared" si="22"/>
        <v>0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128</v>
      </c>
      <c r="C64" s="6">
        <f t="shared" ref="C64:J64" si="23">C63*(1+(C6+(C13-C6)*2/5))</f>
        <v>29914.829734251354</v>
      </c>
      <c r="D64" s="6">
        <f t="shared" si="23"/>
        <v>0</v>
      </c>
      <c r="E64" s="6">
        <f t="shared" si="23"/>
        <v>15900.474974290912</v>
      </c>
      <c r="F64" s="6">
        <f t="shared" si="23"/>
        <v>6159.5239455950659</v>
      </c>
      <c r="G64" s="6">
        <f t="shared" si="23"/>
        <v>0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129</v>
      </c>
      <c r="C65" s="6">
        <f t="shared" ref="C65:J65" si="24">C64*(1+(C6+(C13-C6)*3/5))</f>
        <v>30486.550696009996</v>
      </c>
      <c r="D65" s="6">
        <f t="shared" si="24"/>
        <v>0</v>
      </c>
      <c r="E65" s="6">
        <f t="shared" si="24"/>
        <v>16350.643234602239</v>
      </c>
      <c r="F65" s="6">
        <f t="shared" si="24"/>
        <v>6405.5514659574628</v>
      </c>
      <c r="G65" s="6">
        <f t="shared" si="24"/>
        <v>0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130</v>
      </c>
      <c r="C66" s="6">
        <f t="shared" ref="C66:J66" si="25">C65*(1+(C6+(C13-C6)*4/5))</f>
        <v>31029.683777346061</v>
      </c>
      <c r="D66" s="6">
        <f t="shared" si="25"/>
        <v>0</v>
      </c>
      <c r="E66" s="6">
        <f t="shared" si="25"/>
        <v>16782.553617398109</v>
      </c>
      <c r="F66" s="6">
        <f t="shared" si="25"/>
        <v>6612.008768955624</v>
      </c>
      <c r="G66" s="6">
        <f t="shared" si="25"/>
        <v>0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131</v>
      </c>
      <c r="C67" s="6">
        <f t="shared" ref="C67:J67" si="26">C66*(1+(C6+(C13-C6)*5/5))</f>
        <v>31542.274680165774</v>
      </c>
      <c r="D67" s="6">
        <f t="shared" si="26"/>
        <v>0</v>
      </c>
      <c r="E67" s="6">
        <f t="shared" si="26"/>
        <v>17194.051299932602</v>
      </c>
      <c r="F67" s="6">
        <f t="shared" si="26"/>
        <v>6774.1310744969196</v>
      </c>
      <c r="G67" s="6">
        <f t="shared" si="26"/>
        <v>0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132</v>
      </c>
      <c r="C69" s="11">
        <f t="shared" ref="C69:J69" si="27">IF(ISBLANK(C9),C7,C9)</f>
        <v>0.28000000000000003</v>
      </c>
      <c r="D69" s="11">
        <f t="shared" si="27"/>
        <v>0</v>
      </c>
      <c r="E69" s="11">
        <f t="shared" si="27"/>
        <v>0.255</v>
      </c>
      <c r="F69" s="11">
        <f t="shared" si="27"/>
        <v>7.6154979470062611E-2</v>
      </c>
      <c r="G69" s="11">
        <f t="shared" si="27"/>
        <v>0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133</v>
      </c>
      <c r="C70" s="11">
        <f t="shared" ref="C70:J70" si="28">IF(ISBLANK(C9),C7,C9)</f>
        <v>0.28000000000000003</v>
      </c>
      <c r="D70" s="11">
        <f t="shared" si="28"/>
        <v>0</v>
      </c>
      <c r="E70" s="11">
        <f t="shared" si="28"/>
        <v>0.255</v>
      </c>
      <c r="F70" s="11">
        <f t="shared" si="28"/>
        <v>7.6154979470062611E-2</v>
      </c>
      <c r="G70" s="11">
        <f t="shared" si="28"/>
        <v>0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134</v>
      </c>
      <c r="C71" s="11">
        <f t="shared" ref="C71:J71" si="29">IF(ISBLANK(C9),C7,C9)</f>
        <v>0.28000000000000003</v>
      </c>
      <c r="D71" s="11">
        <f t="shared" si="29"/>
        <v>0</v>
      </c>
      <c r="E71" s="11">
        <f t="shared" si="29"/>
        <v>0.255</v>
      </c>
      <c r="F71" s="11">
        <f t="shared" si="29"/>
        <v>7.6154979470062611E-2</v>
      </c>
      <c r="G71" s="11">
        <f t="shared" si="29"/>
        <v>0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135</v>
      </c>
      <c r="C72" s="11">
        <f t="shared" ref="C72:J72" si="30">IF(ISBLANK(C9),C7,C9)</f>
        <v>0.28000000000000003</v>
      </c>
      <c r="D72" s="11">
        <f t="shared" si="30"/>
        <v>0</v>
      </c>
      <c r="E72" s="11">
        <f t="shared" si="30"/>
        <v>0.255</v>
      </c>
      <c r="F72" s="11">
        <f t="shared" si="30"/>
        <v>7.6154979470062611E-2</v>
      </c>
      <c r="G72" s="11">
        <f t="shared" si="30"/>
        <v>0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136</v>
      </c>
      <c r="C73" s="11">
        <f t="shared" ref="C73:J73" si="31">IF(ISBLANK(C9),C7,C9)</f>
        <v>0.28000000000000003</v>
      </c>
      <c r="D73" s="11">
        <f t="shared" si="31"/>
        <v>0</v>
      </c>
      <c r="E73" s="11">
        <f t="shared" si="31"/>
        <v>0.255</v>
      </c>
      <c r="F73" s="11">
        <f t="shared" si="31"/>
        <v>7.6154979470062611E-2</v>
      </c>
      <c r="G73" s="11">
        <f t="shared" si="31"/>
        <v>0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137</v>
      </c>
      <c r="C75" s="6">
        <f t="shared" ref="C75:J79" si="32">C63*C69</f>
        <v>8208.6326118323941</v>
      </c>
      <c r="D75" s="6">
        <f t="shared" si="32"/>
        <v>0</v>
      </c>
      <c r="E75" s="6">
        <f t="shared" si="32"/>
        <v>3935.7315284069632</v>
      </c>
      <c r="F75" s="6">
        <f t="shared" si="32"/>
        <v>447.74163121028619</v>
      </c>
      <c r="G75" s="6">
        <f t="shared" si="32"/>
        <v>0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138</v>
      </c>
      <c r="C76" s="6">
        <f t="shared" si="32"/>
        <v>8376.1523255903794</v>
      </c>
      <c r="D76" s="6">
        <f t="shared" si="32"/>
        <v>0</v>
      </c>
      <c r="E76" s="6">
        <f t="shared" si="32"/>
        <v>4054.6211184441827</v>
      </c>
      <c r="F76" s="6">
        <f t="shared" si="32"/>
        <v>469.07841962215127</v>
      </c>
      <c r="G76" s="6">
        <f t="shared" si="32"/>
        <v>0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139</v>
      </c>
      <c r="C77" s="6">
        <f t="shared" si="32"/>
        <v>8536.2341948827998</v>
      </c>
      <c r="D77" s="6">
        <f t="shared" si="32"/>
        <v>0</v>
      </c>
      <c r="E77" s="6">
        <f t="shared" si="32"/>
        <v>4169.4140248235708</v>
      </c>
      <c r="F77" s="6">
        <f t="shared" si="32"/>
        <v>487.81464038442004</v>
      </c>
      <c r="G77" s="6">
        <f t="shared" si="32"/>
        <v>0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140</v>
      </c>
      <c r="C78" s="6">
        <f t="shared" si="32"/>
        <v>8688.3114576568987</v>
      </c>
      <c r="D78" s="6">
        <f t="shared" si="32"/>
        <v>0</v>
      </c>
      <c r="E78" s="6">
        <f t="shared" si="32"/>
        <v>4279.5511724365178</v>
      </c>
      <c r="F78" s="6">
        <f t="shared" si="32"/>
        <v>503.53739205568951</v>
      </c>
      <c r="G78" s="6">
        <f t="shared" si="32"/>
        <v>0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141</v>
      </c>
      <c r="C79" s="6">
        <f t="shared" si="32"/>
        <v>8831.8369104464182</v>
      </c>
      <c r="D79" s="6">
        <f t="shared" si="32"/>
        <v>0</v>
      </c>
      <c r="E79" s="6">
        <f t="shared" si="32"/>
        <v>4384.4830814828138</v>
      </c>
      <c r="F79" s="6">
        <f t="shared" si="32"/>
        <v>515.88381290582606</v>
      </c>
      <c r="G79" s="6">
        <f t="shared" si="32"/>
        <v>0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142</v>
      </c>
      <c r="C81" s="6">
        <f>C75*(1-Inputs!B22)</f>
        <v>6099.0140305914683</v>
      </c>
      <c r="D81" s="6">
        <f>D75*(1-Inputs!B22)</f>
        <v>0</v>
      </c>
      <c r="E81" s="6">
        <f>E75*(1-Inputs!B22)</f>
        <v>2924.2485256063737</v>
      </c>
      <c r="F81" s="6">
        <f>F75*(1-Inputs!B22)</f>
        <v>332.67203198924261</v>
      </c>
      <c r="G81" s="6">
        <f>G75*(1-Inputs!B22)</f>
        <v>0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143</v>
      </c>
      <c r="C82" s="6">
        <f>C76*(1-Inputs!B22)</f>
        <v>6223.4811779136517</v>
      </c>
      <c r="D82" s="6">
        <f>D76*(1-Inputs!B22)</f>
        <v>0</v>
      </c>
      <c r="E82" s="6">
        <f>E76*(1-Inputs!B22)</f>
        <v>3012.5834910040276</v>
      </c>
      <c r="F82" s="6">
        <f>F76*(1-Inputs!B22)</f>
        <v>348.5252657792584</v>
      </c>
      <c r="G82" s="6">
        <f>G76*(1-Inputs!B22)</f>
        <v>0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144</v>
      </c>
      <c r="C83" s="6">
        <f>C77*(1-Inputs!B22)</f>
        <v>6342.4220067979204</v>
      </c>
      <c r="D83" s="6">
        <f>D77*(1-Inputs!B22)</f>
        <v>0</v>
      </c>
      <c r="E83" s="6">
        <f>E77*(1-Inputs!B22)</f>
        <v>3097.874620443913</v>
      </c>
      <c r="F83" s="6">
        <f>F77*(1-Inputs!B22)</f>
        <v>362.44627780562411</v>
      </c>
      <c r="G83" s="6">
        <f>G77*(1-Inputs!B22)</f>
        <v>0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145</v>
      </c>
      <c r="C84" s="6">
        <f>C78*(1-Inputs!B22)</f>
        <v>6455.4154130390752</v>
      </c>
      <c r="D84" s="6">
        <f>D78*(1-Inputs!B22)</f>
        <v>0</v>
      </c>
      <c r="E84" s="6">
        <f>E78*(1-Inputs!B22)</f>
        <v>3179.7065211203326</v>
      </c>
      <c r="F84" s="6">
        <f>F78*(1-Inputs!B22)</f>
        <v>374.12828229737732</v>
      </c>
      <c r="G84" s="6">
        <f>G78*(1-Inputs!B22)</f>
        <v>0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146</v>
      </c>
      <c r="C85" s="6">
        <f>C79*(1-Inputs!B22)</f>
        <v>6562.0548244616884</v>
      </c>
      <c r="D85" s="6">
        <f>D79*(1-Inputs!B22)</f>
        <v>0</v>
      </c>
      <c r="E85" s="6">
        <f>E79*(1-Inputs!B22)</f>
        <v>3257.6709295417304</v>
      </c>
      <c r="F85" s="6">
        <f>F79*(1-Inputs!B22)</f>
        <v>383.30167298902876</v>
      </c>
      <c r="G85" s="6">
        <f>G79*(1-Inputs!B22)</f>
        <v>0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147</v>
      </c>
      <c r="C87" s="6">
        <f t="shared" ref="C87:J87" si="33">C63*MAX(IF(ISBLANK(C26),C12,C26),0)</f>
        <v>439.74817563387819</v>
      </c>
      <c r="D87" s="6">
        <f t="shared" si="33"/>
        <v>0</v>
      </c>
      <c r="E87" s="6">
        <f t="shared" si="33"/>
        <v>308.68482575740887</v>
      </c>
      <c r="F87" s="6">
        <f t="shared" si="33"/>
        <v>58.793480653001623</v>
      </c>
      <c r="G87" s="6">
        <f t="shared" si="33"/>
        <v>0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148</v>
      </c>
      <c r="C88" s="6">
        <f t="shared" ref="C88:J88" si="34">C64*MAX(IF(ISBLANK(C26),C12,C26),0)</f>
        <v>448.72244601377031</v>
      </c>
      <c r="D88" s="6">
        <f t="shared" si="34"/>
        <v>0</v>
      </c>
      <c r="E88" s="6">
        <f t="shared" si="34"/>
        <v>318.00949948581825</v>
      </c>
      <c r="F88" s="6">
        <f t="shared" si="34"/>
        <v>61.595239455950662</v>
      </c>
      <c r="G88" s="6">
        <f t="shared" si="34"/>
        <v>0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149</v>
      </c>
      <c r="C89" s="6">
        <f t="shared" ref="C89:J89" si="35">C65*MAX(IF(ISBLANK(C26),C12,C26),0)</f>
        <v>457.29826044014993</v>
      </c>
      <c r="D89" s="6">
        <f t="shared" si="35"/>
        <v>0</v>
      </c>
      <c r="E89" s="6">
        <f t="shared" si="35"/>
        <v>327.01286469204479</v>
      </c>
      <c r="F89" s="6">
        <f t="shared" si="35"/>
        <v>64.055514659574627</v>
      </c>
      <c r="G89" s="6">
        <f t="shared" si="35"/>
        <v>0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150</v>
      </c>
      <c r="C90" s="6">
        <f t="shared" ref="C90:J90" si="36">C66*MAX(IF(ISBLANK(C26),C12,C26),0)</f>
        <v>465.44525666019092</v>
      </c>
      <c r="D90" s="6">
        <f t="shared" si="36"/>
        <v>0</v>
      </c>
      <c r="E90" s="6">
        <f t="shared" si="36"/>
        <v>335.65107234796221</v>
      </c>
      <c r="F90" s="6">
        <f t="shared" si="36"/>
        <v>66.120087689556243</v>
      </c>
      <c r="G90" s="6">
        <f t="shared" si="36"/>
        <v>0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151</v>
      </c>
      <c r="C91" s="6">
        <f t="shared" ref="C91:J91" si="37">C67*MAX(IF(ISBLANK(C26),C12,C26),0)</f>
        <v>473.1341202024866</v>
      </c>
      <c r="D91" s="6">
        <f t="shared" si="37"/>
        <v>0</v>
      </c>
      <c r="E91" s="6">
        <f t="shared" si="37"/>
        <v>343.88102599865204</v>
      </c>
      <c r="F91" s="6">
        <f t="shared" si="37"/>
        <v>67.741310744969198</v>
      </c>
      <c r="G91" s="6">
        <f t="shared" si="37"/>
        <v>0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152</v>
      </c>
      <c r="C93" s="6">
        <f t="shared" ref="C93:J97" si="38">C81-C87</f>
        <v>5659.2658549575899</v>
      </c>
      <c r="D93" s="6">
        <f t="shared" si="38"/>
        <v>0</v>
      </c>
      <c r="E93" s="6">
        <f t="shared" si="38"/>
        <v>2615.5636998489649</v>
      </c>
      <c r="F93" s="6">
        <f t="shared" si="38"/>
        <v>273.878551336241</v>
      </c>
      <c r="G93" s="6">
        <f t="shared" si="38"/>
        <v>0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153</v>
      </c>
      <c r="C94" s="6">
        <f t="shared" si="38"/>
        <v>5774.7587318998812</v>
      </c>
      <c r="D94" s="6">
        <f t="shared" si="38"/>
        <v>0</v>
      </c>
      <c r="E94" s="6">
        <f t="shared" si="38"/>
        <v>2694.5739915182094</v>
      </c>
      <c r="F94" s="6">
        <f t="shared" si="38"/>
        <v>286.93002632330774</v>
      </c>
      <c r="G94" s="6">
        <f t="shared" si="38"/>
        <v>0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154</v>
      </c>
      <c r="C95" s="6">
        <f t="shared" si="38"/>
        <v>5885.1237463577709</v>
      </c>
      <c r="D95" s="6">
        <f t="shared" si="38"/>
        <v>0</v>
      </c>
      <c r="E95" s="6">
        <f t="shared" si="38"/>
        <v>2770.8617557518683</v>
      </c>
      <c r="F95" s="6">
        <f t="shared" si="38"/>
        <v>298.39076314604949</v>
      </c>
      <c r="G95" s="6">
        <f t="shared" si="38"/>
        <v>0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155</v>
      </c>
      <c r="C96" s="6">
        <f t="shared" si="38"/>
        <v>5989.970156378884</v>
      </c>
      <c r="D96" s="6">
        <f t="shared" si="38"/>
        <v>0</v>
      </c>
      <c r="E96" s="6">
        <f t="shared" si="38"/>
        <v>2844.0554487723703</v>
      </c>
      <c r="F96" s="6">
        <f t="shared" si="38"/>
        <v>308.00819460782111</v>
      </c>
      <c r="G96" s="6">
        <f t="shared" si="38"/>
        <v>0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156</v>
      </c>
      <c r="C97" s="6">
        <f t="shared" si="38"/>
        <v>6088.9207042592016</v>
      </c>
      <c r="D97" s="6">
        <f t="shared" si="38"/>
        <v>0</v>
      </c>
      <c r="E97" s="6">
        <f t="shared" si="38"/>
        <v>2913.7899035430783</v>
      </c>
      <c r="F97" s="6">
        <f t="shared" si="38"/>
        <v>315.56036224405955</v>
      </c>
      <c r="G97" s="6">
        <f t="shared" si="38"/>
        <v>0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157</v>
      </c>
      <c r="C99" s="6">
        <f t="shared" ref="C99:J99" si="39">C93/(((1+C16)*(1+C16+(C104-C16)*1/5)*(1+C16+(C104-C16)*2/5)*(1+C16+(C104-C16)*3/5)*(1+C16+(C104-C16)*4/5))*(1+C104)^1)</f>
        <v>3918.0365187807333</v>
      </c>
      <c r="D99" s="6">
        <f t="shared" si="39"/>
        <v>0</v>
      </c>
      <c r="E99" s="6">
        <f t="shared" si="39"/>
        <v>1776.1792245335394</v>
      </c>
      <c r="F99" s="6">
        <f t="shared" si="39"/>
        <v>180.98247044755593</v>
      </c>
      <c r="G99" s="6">
        <f t="shared" si="39"/>
        <v>0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158</v>
      </c>
      <c r="C100" s="6">
        <f t="shared" ref="C100:J100" si="40">C94/(((1+C16)*(1+C16+(C104-C16)*1/5)*(1+C16+(C104-C16)*2/5)*(1+C16+(C104-C16)*3/5)*(1+C16+(C104-C16)*4/5))*(1+C104)^2)</f>
        <v>3732.7438664523384</v>
      </c>
      <c r="D100" s="6">
        <f t="shared" si="40"/>
        <v>0</v>
      </c>
      <c r="E100" s="6">
        <f t="shared" si="40"/>
        <v>1702.8434006416005</v>
      </c>
      <c r="F100" s="6">
        <f t="shared" si="40"/>
        <v>177.02738380936754</v>
      </c>
      <c r="G100" s="6">
        <f t="shared" si="40"/>
        <v>0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159</v>
      </c>
      <c r="C101" s="6">
        <f t="shared" ref="C101:J101" si="41">C95/(((1+C16)*(1+C16+(C104-C16)*1/5)*(1+C16+(C104-C16)*2/5)*(1+C16+(C104-C16)*3/5)*(1+C16+(C104-C16)*4/5))*(1+C104)^3)</f>
        <v>3551.6969996656039</v>
      </c>
      <c r="D101" s="6">
        <f t="shared" si="41"/>
        <v>0</v>
      </c>
      <c r="E101" s="6">
        <f t="shared" si="41"/>
        <v>1629.5307786883213</v>
      </c>
      <c r="F101" s="6">
        <f t="shared" si="41"/>
        <v>171.88413429859426</v>
      </c>
      <c r="G101" s="6">
        <f t="shared" si="41"/>
        <v>0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160</v>
      </c>
      <c r="C102" s="6">
        <f t="shared" ref="C102:J102" si="42">C96/(((1+C16)*(1+C16+(C104-C16)*1/5)*(1+C16+(C104-C16)*2/5)*(1+C16+(C104-C16)*3/5)*(1+C16+(C104-C16)*4/5))*(1+C104)^4)</f>
        <v>3375.1333072822495</v>
      </c>
      <c r="D102" s="6">
        <f t="shared" si="42"/>
        <v>0</v>
      </c>
      <c r="E102" s="6">
        <f t="shared" si="42"/>
        <v>1556.499126025263</v>
      </c>
      <c r="F102" s="6">
        <f t="shared" si="42"/>
        <v>165.65275001268179</v>
      </c>
      <c r="G102" s="6">
        <f t="shared" si="42"/>
        <v>0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161</v>
      </c>
      <c r="C103" s="6">
        <f t="shared" ref="C103:J103" si="43">C97/(((1+C16)*(1+C16+(C104-C16)*1/5)*(1+C16+(C104-C16)*2/5)*(1+C16+(C104-C16)*3/5)*(1+C16+(C104-C16)*4/5))*(1+C104)^5)</f>
        <v>3203.2626758084807</v>
      </c>
      <c r="D103" s="6">
        <f t="shared" si="43"/>
        <v>0</v>
      </c>
      <c r="E103" s="6">
        <f t="shared" si="43"/>
        <v>1483.994079829572</v>
      </c>
      <c r="F103" s="6">
        <f t="shared" si="43"/>
        <v>158.45457676497003</v>
      </c>
      <c r="G103" s="6">
        <f t="shared" si="43"/>
        <v>0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162</v>
      </c>
      <c r="C104" s="11">
        <f>MAX((Inputs!B18+((1+(1-Inputs!B22)*(Inputs!B36/(1-Inputs!B36)))/(1+(1-Inputs!B22)*0.25))*Inputs!B19+IF(ISBLANK(C17),Inputs!B24,C17)+Inputs!B25+Inputs!B39)*(1-Inputs!B36)+Inputs!B38*Inputs!B36,C15)</f>
        <v>7.106058373214566E-2</v>
      </c>
      <c r="D104" s="11">
        <f>MAX((Inputs!B18+((1+(1-Inputs!B22)*(Inputs!B36/(1-Inputs!B36)))/(1+(1-Inputs!B22)*0.25))*Inputs!B19+IF(ISBLANK(D17),Inputs!B24,D17)+Inputs!B25+Inputs!B39)*(1-Inputs!B36)+Inputs!B38*Inputs!B36,D15)</f>
        <v>7.106058373214566E-2</v>
      </c>
      <c r="E104" s="11">
        <f>MAX((Inputs!B18+((1+(1-Inputs!B22)*(Inputs!B36/(1-Inputs!B36)))/(1+(1-Inputs!B22)*0.25))*Inputs!B19+IF(ISBLANK(E17),Inputs!B24,E17)+Inputs!B25+Inputs!B39)*(1-Inputs!B36)+Inputs!B38*Inputs!B36,E15)</f>
        <v>7.4575383732145673E-2</v>
      </c>
      <c r="F104" s="11">
        <f>MAX((Inputs!B18+((1+(1-Inputs!B22)*(Inputs!B36/(1-Inputs!B36)))/(1+(1-Inputs!B22)*0.25))*Inputs!B19+IF(ISBLANK(F17),Inputs!B24,F17)+Inputs!B25+Inputs!B39)*(1-Inputs!B36)+Inputs!B38*Inputs!B36,F15)</f>
        <v>7.106058373214566E-2</v>
      </c>
      <c r="G104" s="11">
        <f>MAX((Inputs!B18+((1+(1-Inputs!B22)*(Inputs!B36/(1-Inputs!B36)))/(1+(1-Inputs!B22)*0.25))*Inputs!B19+IF(ISBLANK(G17),Inputs!B24,G17)+Inputs!B25+Inputs!B39)*(1-Inputs!B36)+Inputs!B38*Inputs!B36,G15)</f>
        <v>7.106058373214566E-2</v>
      </c>
      <c r="H104" s="11">
        <f>MAX((Inputs!B18+((1+(1-Inputs!B22)*(Inputs!B36/(1-Inputs!B36)))/(1+(1-Inputs!B22)*0.25))*Inputs!B19+IF(ISBLANK(H17),Inputs!B24,H17)+Inputs!B25+Inputs!B39)*(1-Inputs!B36)+Inputs!B38*Inputs!B36,H15)</f>
        <v>7.106058373214566E-2</v>
      </c>
      <c r="I104" s="11">
        <f>MAX((Inputs!B18+((1+(1-Inputs!B22)*(Inputs!B36/(1-Inputs!B36)))/(1+(1-Inputs!B22)*0.25))*Inputs!B19+IF(ISBLANK(I17),Inputs!B24,I17)+Inputs!B25+Inputs!B39)*(1-Inputs!B36)+Inputs!B38*Inputs!B36,I15)</f>
        <v>7.106058373214566E-2</v>
      </c>
      <c r="J104" s="11">
        <f>MAX((Inputs!B18+((1+(1-Inputs!B22)*(Inputs!B36/(1-Inputs!B36)))/(1+(1-Inputs!B22)*0.25))*Inputs!B19+IF(ISBLANK(J17),Inputs!B24,J17)+Inputs!B25+Inputs!B39)*(1-Inputs!B36)+Inputs!B38*Inputs!B36,J15)</f>
        <v>7.106058373214566E-2</v>
      </c>
    </row>
    <row r="105" spans="1:11" x14ac:dyDescent="0.25">
      <c r="A105" s="4" t="s">
        <v>163</v>
      </c>
      <c r="C105" s="6">
        <f t="shared" ref="C105:J105" si="44">SUM(C57:C61,C99:C103)</f>
        <v>39531.274505004374</v>
      </c>
      <c r="D105" s="6">
        <f t="shared" si="44"/>
        <v>0</v>
      </c>
      <c r="E105" s="6">
        <f t="shared" si="44"/>
        <v>17537.709997536869</v>
      </c>
      <c r="F105" s="6">
        <f t="shared" si="44"/>
        <v>1659.3977435590448</v>
      </c>
      <c r="G105" s="6">
        <f t="shared" si="44"/>
        <v>0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164</v>
      </c>
      <c r="C106" s="6">
        <f t="shared" ref="C106:J106" si="45">IF(C5=0,0,C97*(1+C13)/(C104-C13))</f>
        <v>113483.10214876785</v>
      </c>
      <c r="D106" s="6">
        <f t="shared" si="45"/>
        <v>0</v>
      </c>
      <c r="E106" s="6">
        <f t="shared" si="45"/>
        <v>59637.876170087882</v>
      </c>
      <c r="F106" s="6">
        <f t="shared" si="45"/>
        <v>6946.4823813567591</v>
      </c>
      <c r="G106" s="6">
        <f t="shared" si="45"/>
        <v>0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165</v>
      </c>
      <c r="C107" s="6">
        <f t="shared" ref="C107:J107" si="46">C106/(((1+C16)*(1+C16+(C104-C16)*1/5)*(1+C16+(C104-C16)*2/5)*(1+C16+(C104-C16)*3/5)*(1+C16+(C104-C16)*4/5))*(1+C104)^5)</f>
        <v>59701.251355405169</v>
      </c>
      <c r="D107" s="6">
        <f t="shared" si="46"/>
        <v>0</v>
      </c>
      <c r="E107" s="6">
        <f t="shared" si="46"/>
        <v>30373.588384805484</v>
      </c>
      <c r="F107" s="6">
        <f t="shared" si="46"/>
        <v>3488.0867733695445</v>
      </c>
      <c r="G107" s="6">
        <f t="shared" si="46"/>
        <v>0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166</v>
      </c>
      <c r="C109" s="20">
        <f t="shared" ref="C109:J109" si="47">C105+C107</f>
        <v>99232.525860409543</v>
      </c>
      <c r="D109" s="20">
        <f t="shared" si="47"/>
        <v>0</v>
      </c>
      <c r="E109" s="20">
        <f t="shared" si="47"/>
        <v>47911.298382342356</v>
      </c>
      <c r="F109" s="20">
        <f t="shared" si="47"/>
        <v>5147.4845169285891</v>
      </c>
      <c r="G109" s="20">
        <f t="shared" si="47"/>
        <v>0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152291.30875968048</v>
      </c>
    </row>
    <row r="110" spans="1:11" x14ac:dyDescent="0.25">
      <c r="A110" s="4" t="s">
        <v>167</v>
      </c>
      <c r="K110" s="11">
        <f>IFERROR(SUMPRODUCT(C109:J109,C16:J16)/SUM(C109:J109),0)</f>
        <v>5.6978174003027938E-2</v>
      </c>
    </row>
    <row r="111" spans="1:11" x14ac:dyDescent="0.25">
      <c r="A111" s="4" t="s">
        <v>168</v>
      </c>
      <c r="K111" s="5">
        <f>102334-SUM(B135:J135)</f>
        <v>32055.323499999999</v>
      </c>
    </row>
    <row r="112" spans="1:11" x14ac:dyDescent="0.25">
      <c r="A112" s="4" t="s">
        <v>169</v>
      </c>
      <c r="K112" s="5">
        <v>4490</v>
      </c>
    </row>
    <row r="113" spans="1:11" x14ac:dyDescent="0.25">
      <c r="A113" s="4" t="s">
        <v>170</v>
      </c>
      <c r="K113" s="5">
        <v>-28421.10569707047</v>
      </c>
    </row>
    <row r="114" spans="1:11" x14ac:dyDescent="0.25">
      <c r="A114" s="4" t="s">
        <v>171</v>
      </c>
      <c r="K114" s="5">
        <f>0+SUM(B134:J134)</f>
        <v>135403.06113285001</v>
      </c>
    </row>
    <row r="115" spans="1:11" x14ac:dyDescent="0.25">
      <c r="A115" s="4" t="s">
        <v>172</v>
      </c>
      <c r="K115" s="5">
        <v>0</v>
      </c>
    </row>
    <row r="116" spans="1:11" x14ac:dyDescent="0.25">
      <c r="A116" s="4" t="s">
        <v>173</v>
      </c>
      <c r="K116" s="5">
        <v>-92.5</v>
      </c>
    </row>
    <row r="117" spans="1:11" x14ac:dyDescent="0.25">
      <c r="A117" s="4" t="s">
        <v>174</v>
      </c>
      <c r="K117" s="5">
        <v>0</v>
      </c>
    </row>
    <row r="118" spans="1:11" x14ac:dyDescent="0.25">
      <c r="A118" s="4" t="s">
        <v>175</v>
      </c>
      <c r="K118" s="5">
        <v>0</v>
      </c>
    </row>
    <row r="119" spans="1:11" x14ac:dyDescent="0.25">
      <c r="A119" s="4" t="s">
        <v>176</v>
      </c>
      <c r="K119" s="20">
        <f>K109+K113+K114+K115+K116+K117+K118+K121-K111-K112</f>
        <v>220964.44069546001</v>
      </c>
    </row>
    <row r="120" spans="1:11" x14ac:dyDescent="0.25">
      <c r="A120" s="4" t="s">
        <v>177</v>
      </c>
      <c r="K120" s="6">
        <f>Inputs!B11</f>
        <v>4871</v>
      </c>
    </row>
    <row r="121" spans="1:11" x14ac:dyDescent="0.25">
      <c r="A121" s="4" t="s">
        <v>178</v>
      </c>
      <c r="K121" s="21">
        <f>-(Inputs!B41+Inputs!B42)</f>
        <v>-1671</v>
      </c>
    </row>
    <row r="122" spans="1:11" ht="15.75" customHeight="1" x14ac:dyDescent="0.25">
      <c r="A122" s="4" t="s">
        <v>179</v>
      </c>
      <c r="K122" s="22">
        <f>K119/K120</f>
        <v>45.363260253635808</v>
      </c>
    </row>
    <row r="124" spans="1:11" x14ac:dyDescent="0.25">
      <c r="A124" t="s">
        <v>180</v>
      </c>
    </row>
    <row r="125" spans="1:11" x14ac:dyDescent="0.25">
      <c r="A125" t="s">
        <v>181</v>
      </c>
      <c r="B125" t="s">
        <v>182</v>
      </c>
    </row>
    <row r="126" spans="1:11" x14ac:dyDescent="0.25">
      <c r="A126" t="s">
        <v>183</v>
      </c>
      <c r="B126" t="s">
        <v>184</v>
      </c>
    </row>
    <row r="127" spans="1:11" x14ac:dyDescent="0.25">
      <c r="A127" t="s">
        <v>185</v>
      </c>
      <c r="B127" t="s">
        <v>186</v>
      </c>
    </row>
    <row r="128" spans="1:11" x14ac:dyDescent="0.25">
      <c r="A128" t="s">
        <v>187</v>
      </c>
      <c r="B128">
        <v>0.86109999999999998</v>
      </c>
    </row>
    <row r="129" spans="1:2" x14ac:dyDescent="0.25">
      <c r="A129" t="s">
        <v>215</v>
      </c>
      <c r="B129">
        <v>372970</v>
      </c>
    </row>
    <row r="130" spans="1:2" x14ac:dyDescent="0.25">
      <c r="A130" t="s">
        <v>189</v>
      </c>
      <c r="B130">
        <v>81615</v>
      </c>
    </row>
    <row r="131" spans="1:2" x14ac:dyDescent="0.25">
      <c r="A131" t="s">
        <v>190</v>
      </c>
      <c r="B131">
        <f>B129-B130</f>
        <v>291355</v>
      </c>
    </row>
    <row r="132" spans="1:2" x14ac:dyDescent="0.25">
      <c r="A132" t="s">
        <v>191</v>
      </c>
      <c r="B132">
        <v>0.51400000000000001</v>
      </c>
    </row>
    <row r="133" spans="1:2" x14ac:dyDescent="0.25">
      <c r="A133" t="s">
        <v>192</v>
      </c>
      <c r="B133">
        <f>B131*B132</f>
        <v>149756.47</v>
      </c>
    </row>
    <row r="134" spans="1:2" x14ac:dyDescent="0.25">
      <c r="A134" t="s">
        <v>193</v>
      </c>
      <c r="B134">
        <f>B133*B128*(1+B143)</f>
        <v>135403.06113285001</v>
      </c>
    </row>
    <row r="135" spans="1:2" x14ac:dyDescent="0.25">
      <c r="A135" t="s">
        <v>194</v>
      </c>
      <c r="B135">
        <f>B130*B128</f>
        <v>70278.676500000001</v>
      </c>
    </row>
    <row r="136" spans="1:2" x14ac:dyDescent="0.25">
      <c r="A136" t="s">
        <v>195</v>
      </c>
    </row>
    <row r="137" spans="1:2" x14ac:dyDescent="0.25">
      <c r="A137" t="s">
        <v>196</v>
      </c>
      <c r="B137" t="s">
        <v>197</v>
      </c>
    </row>
    <row r="138" spans="1:2" x14ac:dyDescent="0.25">
      <c r="A138" t="s">
        <v>198</v>
      </c>
      <c r="B138" t="s">
        <v>199</v>
      </c>
    </row>
    <row r="139" spans="1:2" x14ac:dyDescent="0.25">
      <c r="A139" t="s">
        <v>200</v>
      </c>
      <c r="B139" t="s">
        <v>201</v>
      </c>
    </row>
    <row r="140" spans="1:2" x14ac:dyDescent="0.25">
      <c r="A140" t="s">
        <v>202</v>
      </c>
      <c r="B140" t="s">
        <v>203</v>
      </c>
    </row>
    <row r="141" spans="1:2" x14ac:dyDescent="0.25">
      <c r="A141" t="s">
        <v>216</v>
      </c>
      <c r="B141" t="s">
        <v>217</v>
      </c>
    </row>
    <row r="142" spans="1:2" x14ac:dyDescent="0.25">
      <c r="A142" t="s">
        <v>206</v>
      </c>
      <c r="B142">
        <f>ABS(B134)*0.1/Inputs!B11</f>
        <v>2.7797795346509959</v>
      </c>
    </row>
    <row r="143" spans="1:2" x14ac:dyDescent="0.25">
      <c r="A143" t="s">
        <v>218</v>
      </c>
      <c r="B143">
        <v>0.05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43"/>
  <sheetViews>
    <sheetView workbookViewId="0"/>
  </sheetViews>
  <sheetFormatPr baseColWidth="10" defaultColWidth="9.140625" defaultRowHeight="15" x14ac:dyDescent="0.25"/>
  <cols>
    <col min="1" max="1" width="30" customWidth="1"/>
    <col min="2" max="2" width="4" customWidth="1"/>
    <col min="3" max="11" width="14" customWidth="1"/>
  </cols>
  <sheetData>
    <row r="1" spans="1:11" ht="18.75" customHeight="1" x14ac:dyDescent="0.3">
      <c r="A1" s="1" t="s">
        <v>219</v>
      </c>
    </row>
    <row r="2" spans="1:11" x14ac:dyDescent="0.25">
      <c r="A2" s="2" t="s">
        <v>56</v>
      </c>
    </row>
    <row r="3" spans="1:11" x14ac:dyDescent="0.25">
      <c r="C3" s="13" t="s">
        <v>57</v>
      </c>
      <c r="D3" s="13" t="s">
        <v>58</v>
      </c>
      <c r="E3" s="13" t="s">
        <v>59</v>
      </c>
      <c r="F3" s="13" t="s">
        <v>60</v>
      </c>
      <c r="G3" s="13" t="s">
        <v>61</v>
      </c>
      <c r="H3" s="13" t="s">
        <v>62</v>
      </c>
      <c r="I3" s="13" t="s">
        <v>63</v>
      </c>
      <c r="J3" s="13" t="s">
        <v>64</v>
      </c>
      <c r="K3" s="13" t="s">
        <v>65</v>
      </c>
    </row>
    <row r="4" spans="1:11" x14ac:dyDescent="0.25">
      <c r="A4" s="4" t="s">
        <v>66</v>
      </c>
      <c r="C4" s="14" t="s">
        <v>57</v>
      </c>
      <c r="D4" s="14" t="s">
        <v>67</v>
      </c>
      <c r="E4" s="14" t="s">
        <v>59</v>
      </c>
      <c r="F4" s="14" t="s">
        <v>60</v>
      </c>
      <c r="G4" s="14"/>
      <c r="H4" s="14"/>
      <c r="I4" s="14"/>
      <c r="J4" s="14"/>
    </row>
    <row r="5" spans="1:11" x14ac:dyDescent="0.25">
      <c r="A5" s="4" t="s">
        <v>68</v>
      </c>
      <c r="C5" s="5">
        <v>25610</v>
      </c>
      <c r="D5" s="5"/>
      <c r="E5" s="5">
        <v>12652</v>
      </c>
      <c r="F5" s="5">
        <v>4103</v>
      </c>
      <c r="G5" s="5"/>
      <c r="H5" s="5"/>
      <c r="I5" s="5"/>
      <c r="J5" s="5"/>
    </row>
    <row r="6" spans="1:11" x14ac:dyDescent="0.25">
      <c r="A6" s="4" t="s">
        <v>69</v>
      </c>
      <c r="C6" s="7">
        <v>2.9999999999999992E-3</v>
      </c>
      <c r="D6" s="7"/>
      <c r="E6" s="7">
        <v>6.9999999999999993E-3</v>
      </c>
      <c r="F6" s="7">
        <v>2.69225102649687E-2</v>
      </c>
      <c r="G6" s="7"/>
      <c r="H6" s="7"/>
      <c r="I6" s="7"/>
      <c r="J6" s="7"/>
    </row>
    <row r="7" spans="1:11" x14ac:dyDescent="0.25">
      <c r="A7" s="4" t="s">
        <v>70</v>
      </c>
      <c r="C7" s="7">
        <v>0.22740313783121091</v>
      </c>
      <c r="D7" s="7"/>
      <c r="E7" s="7">
        <v>0.19240313783121091</v>
      </c>
      <c r="F7" s="7">
        <v>-1.767435190382043E-2</v>
      </c>
      <c r="G7" s="7"/>
      <c r="H7" s="7"/>
      <c r="I7" s="7"/>
      <c r="J7" s="7"/>
    </row>
    <row r="8" spans="1:11" x14ac:dyDescent="0.25">
      <c r="A8" s="4" t="s">
        <v>71</v>
      </c>
      <c r="C8" s="15">
        <v>0.25</v>
      </c>
      <c r="D8" s="15"/>
      <c r="E8" s="15">
        <v>0.218</v>
      </c>
      <c r="F8" s="15">
        <v>2.3E-2</v>
      </c>
      <c r="G8" s="15"/>
      <c r="H8" s="15"/>
      <c r="I8" s="15"/>
      <c r="J8" s="15"/>
    </row>
    <row r="9" spans="1:11" x14ac:dyDescent="0.25">
      <c r="A9" s="4" t="s">
        <v>72</v>
      </c>
      <c r="C9" s="7">
        <v>0.25</v>
      </c>
      <c r="D9" s="7"/>
      <c r="E9" s="7">
        <v>0.21</v>
      </c>
      <c r="F9" s="7">
        <v>-6.7435190382042487E-4</v>
      </c>
      <c r="G9" s="7"/>
      <c r="H9" s="7"/>
      <c r="I9" s="7"/>
      <c r="J9" s="7"/>
    </row>
    <row r="10" spans="1:11" x14ac:dyDescent="0.25">
      <c r="A10" s="4" t="s">
        <v>73</v>
      </c>
      <c r="C10" s="7">
        <v>0.19</v>
      </c>
      <c r="D10" s="7"/>
      <c r="E10" s="7">
        <v>0.16</v>
      </c>
      <c r="F10" s="7">
        <v>5.3999999999999999E-2</v>
      </c>
      <c r="G10" s="7"/>
      <c r="H10" s="7"/>
      <c r="I10" s="7"/>
      <c r="J10" s="7"/>
    </row>
    <row r="11" spans="1:11" x14ac:dyDescent="0.25">
      <c r="A11" s="4" t="s">
        <v>74</v>
      </c>
      <c r="C11" s="7">
        <v>0.17499999999999999</v>
      </c>
      <c r="D11" s="7"/>
      <c r="E11" s="7">
        <v>0.20599999999999999</v>
      </c>
      <c r="F11" s="7">
        <v>6.0999999999999999E-2</v>
      </c>
      <c r="G11" s="7"/>
      <c r="H11" s="7"/>
      <c r="I11" s="7"/>
      <c r="J11" s="7"/>
    </row>
    <row r="12" spans="1:11" x14ac:dyDescent="0.25">
      <c r="A12" s="4" t="s">
        <v>75</v>
      </c>
      <c r="C12" s="7">
        <v>1.4999999999999999E-2</v>
      </c>
      <c r="D12" s="7"/>
      <c r="E12" s="7">
        <v>0.02</v>
      </c>
      <c r="F12" s="7">
        <v>0.01</v>
      </c>
      <c r="G12" s="7"/>
      <c r="H12" s="7"/>
      <c r="I12" s="7"/>
      <c r="J12" s="7"/>
    </row>
    <row r="13" spans="1:11" x14ac:dyDescent="0.25">
      <c r="A13" s="4" t="s">
        <v>76</v>
      </c>
      <c r="C13" s="7">
        <v>5.2209413493632629E-3</v>
      </c>
      <c r="D13" s="7"/>
      <c r="E13" s="7">
        <v>1.322094134936326E-2</v>
      </c>
      <c r="F13" s="7">
        <v>1.322094134936326E-2</v>
      </c>
      <c r="G13" s="7"/>
      <c r="H13" s="7"/>
      <c r="I13" s="7"/>
      <c r="J13" s="7"/>
    </row>
    <row r="14" spans="1:11" x14ac:dyDescent="0.25">
      <c r="A14" s="4" t="s">
        <v>77</v>
      </c>
      <c r="C14" s="9">
        <v>0.48699999999999999</v>
      </c>
      <c r="D14" s="9"/>
      <c r="E14" s="9">
        <v>0.48699999999999999</v>
      </c>
      <c r="F14" s="9">
        <v>0.97399999999999998</v>
      </c>
      <c r="G14" s="9"/>
      <c r="H14" s="9"/>
      <c r="I14" s="9"/>
      <c r="J14" s="9"/>
    </row>
    <row r="15" spans="1:11" x14ac:dyDescent="0.25">
      <c r="A15" s="4" t="s">
        <v>78</v>
      </c>
      <c r="C15" s="7">
        <v>0</v>
      </c>
      <c r="D15" s="7"/>
      <c r="E15" s="7">
        <v>0</v>
      </c>
      <c r="F15" s="7">
        <v>0</v>
      </c>
      <c r="G15" s="7"/>
      <c r="H15" s="7"/>
      <c r="I15" s="7"/>
      <c r="J15" s="7"/>
    </row>
    <row r="16" spans="1:11" x14ac:dyDescent="0.25">
      <c r="A16" s="4" t="s">
        <v>79</v>
      </c>
      <c r="C16" s="11">
        <f>MAX((MAX(Inputs!B18+((1-0.33)*C14*(1+(1-Inputs!B22)*Inputs!B21)+0.33)*Inputs!B19+IF(ISBLANK(C17),Inputs!B24,C17)+Inputs!B25+Inputs!B39,MIN(Inputs!B27,0.08)+0.025))*Inputs!B29+Inputs!B28*Inputs!B30,C15)</f>
        <v>5.5367915057490572E-2</v>
      </c>
      <c r="D16" s="11">
        <f>MAX((MAX(Inputs!B18+((1-0.33)*D14*(1+(1-Inputs!B22)*Inputs!B21)+0.33)*Inputs!B19+IF(ISBLANK(D17),Inputs!B24,D17)+Inputs!B25+Inputs!B39,MIN(Inputs!B27,0.08)+0.025))*Inputs!B29+Inputs!B28*Inputs!B30,D15)</f>
        <v>5.1135844097995549E-2</v>
      </c>
      <c r="E16" s="11">
        <f>MAX((MAX(Inputs!B18+((1-0.33)*E14*(1+(1-Inputs!B22)*Inputs!B21)+0.33)*Inputs!B19+IF(ISBLANK(E17),Inputs!B24,E17)+Inputs!B25+Inputs!B39,MIN(Inputs!B27,0.08)+0.025))*Inputs!B29+Inputs!B28*Inputs!B30,E15)</f>
        <v>5.8708672295797924E-2</v>
      </c>
      <c r="F16" s="11">
        <f>MAX((MAX(Inputs!B18+((1-0.33)*F14*(1+(1-Inputs!B22)*Inputs!B21)+0.33)*Inputs!B19+IF(ISBLANK(F17),Inputs!B24,F17)+Inputs!B25+Inputs!B39,MIN(Inputs!B27,0.08)+0.025))*Inputs!B29+Inputs!B28*Inputs!B30,F15)</f>
        <v>7.191355499293095E-2</v>
      </c>
      <c r="G16" s="11">
        <f>MAX((MAX(Inputs!B18+((1-0.33)*G14*(1+(1-Inputs!B22)*Inputs!B21)+0.33)*Inputs!B19+IF(ISBLANK(G17),Inputs!B24,G17)+Inputs!B25+Inputs!B39,MIN(Inputs!B27,0.08)+0.025))*Inputs!B29+Inputs!B28*Inputs!B30,G15)</f>
        <v>5.1135844097995549E-2</v>
      </c>
      <c r="H16" s="11">
        <f>MAX((MAX(Inputs!B18+((1-0.33)*H14*(1+(1-Inputs!B22)*Inputs!B21)+0.33)*Inputs!B19+IF(ISBLANK(H17),Inputs!B24,H17)+Inputs!B25+Inputs!B39,MIN(Inputs!B27,0.08)+0.025))*Inputs!B29+Inputs!B28*Inputs!B30,H15)</f>
        <v>5.1135844097995549E-2</v>
      </c>
      <c r="I16" s="11">
        <f>MAX((MAX(Inputs!B18+((1-0.33)*I14*(1+(1-Inputs!B22)*Inputs!B21)+0.33)*Inputs!B19+IF(ISBLANK(I17),Inputs!B24,I17)+Inputs!B25+Inputs!B39,MIN(Inputs!B27,0.08)+0.025))*Inputs!B29+Inputs!B28*Inputs!B30,I15)</f>
        <v>5.1135844097995549E-2</v>
      </c>
      <c r="J16" s="11">
        <f>MAX((MAX(Inputs!B18+((1-0.33)*J14*(1+(1-Inputs!B22)*Inputs!B21)+0.33)*Inputs!B19+IF(ISBLANK(J17),Inputs!B24,J17)+Inputs!B25+Inputs!B39,MIN(Inputs!B27,0.08)+0.025))*Inputs!B29+Inputs!B28*Inputs!B30,J15)</f>
        <v>5.1135844097995549E-2</v>
      </c>
    </row>
    <row r="17" spans="1:10" x14ac:dyDescent="0.25">
      <c r="A17" s="16" t="s">
        <v>80</v>
      </c>
      <c r="C17" s="7"/>
      <c r="D17" s="7"/>
      <c r="E17" s="7">
        <v>7.0000000000000001E-3</v>
      </c>
      <c r="F17" s="7"/>
      <c r="G17" s="7"/>
      <c r="H17" s="7"/>
      <c r="I17" s="7"/>
      <c r="J17" s="7"/>
    </row>
    <row r="18" spans="1:10" ht="39.950000000000003" customHeight="1" x14ac:dyDescent="0.25">
      <c r="A18" s="17" t="s">
        <v>81</v>
      </c>
      <c r="C18" s="18" t="s">
        <v>220</v>
      </c>
      <c r="D18" s="36" t="s">
        <v>83</v>
      </c>
      <c r="E18" s="18" t="s">
        <v>221</v>
      </c>
      <c r="F18" s="18" t="s">
        <v>222</v>
      </c>
      <c r="G18" s="18"/>
      <c r="H18" s="18"/>
      <c r="I18" s="18"/>
      <c r="J18" s="18"/>
    </row>
    <row r="19" spans="1:10" ht="39.950000000000003" customHeight="1" x14ac:dyDescent="0.25">
      <c r="A19" s="17" t="s">
        <v>86</v>
      </c>
      <c r="C19" s="18" t="s">
        <v>223</v>
      </c>
      <c r="D19" s="18"/>
      <c r="E19" s="18" t="s">
        <v>224</v>
      </c>
      <c r="F19" s="18" t="s">
        <v>225</v>
      </c>
      <c r="G19" s="18"/>
      <c r="H19" s="18"/>
      <c r="I19" s="18"/>
      <c r="J19" s="18"/>
    </row>
    <row r="21" spans="1:10" x14ac:dyDescent="0.25">
      <c r="A21" s="4" t="s">
        <v>90</v>
      </c>
      <c r="C21" s="6">
        <f t="shared" ref="C21:J21" si="0">C5*(1+C6)^1</f>
        <v>25686.829999999998</v>
      </c>
      <c r="D21" s="6">
        <f t="shared" si="0"/>
        <v>0</v>
      </c>
      <c r="E21" s="6">
        <f t="shared" si="0"/>
        <v>12740.563999999998</v>
      </c>
      <c r="F21" s="6">
        <f t="shared" si="0"/>
        <v>4213.4630596171664</v>
      </c>
      <c r="G21" s="6">
        <f t="shared" si="0"/>
        <v>0</v>
      </c>
      <c r="H21" s="6">
        <f t="shared" si="0"/>
        <v>0</v>
      </c>
      <c r="I21" s="6">
        <f t="shared" si="0"/>
        <v>0</v>
      </c>
      <c r="J21" s="6">
        <f t="shared" si="0"/>
        <v>0</v>
      </c>
    </row>
    <row r="22" spans="1:10" x14ac:dyDescent="0.25">
      <c r="A22" s="4" t="s">
        <v>91</v>
      </c>
      <c r="C22" s="6">
        <f t="shared" ref="C22:J22" si="1">C5*(1+C6)^2</f>
        <v>25763.890489999994</v>
      </c>
      <c r="D22" s="6">
        <f t="shared" si="1"/>
        <v>0</v>
      </c>
      <c r="E22" s="6">
        <f t="shared" si="1"/>
        <v>12829.747947999997</v>
      </c>
      <c r="F22" s="6">
        <f t="shared" si="1"/>
        <v>4326.9000620907755</v>
      </c>
      <c r="G22" s="6">
        <f t="shared" si="1"/>
        <v>0</v>
      </c>
      <c r="H22" s="6">
        <f t="shared" si="1"/>
        <v>0</v>
      </c>
      <c r="I22" s="6">
        <f t="shared" si="1"/>
        <v>0</v>
      </c>
      <c r="J22" s="6">
        <f t="shared" si="1"/>
        <v>0</v>
      </c>
    </row>
    <row r="23" spans="1:10" x14ac:dyDescent="0.25">
      <c r="A23" s="4" t="s">
        <v>92</v>
      </c>
      <c r="C23" s="6">
        <f t="shared" ref="C23:J23" si="2">C5*(1+C6)^3</f>
        <v>25841.182161469991</v>
      </c>
      <c r="D23" s="6">
        <f t="shared" si="2"/>
        <v>0</v>
      </c>
      <c r="E23" s="6">
        <f t="shared" si="2"/>
        <v>12919.556183635994</v>
      </c>
      <c r="F23" s="6">
        <f t="shared" si="2"/>
        <v>4443.391073427907</v>
      </c>
      <c r="G23" s="6">
        <f t="shared" si="2"/>
        <v>0</v>
      </c>
      <c r="H23" s="6">
        <f t="shared" si="2"/>
        <v>0</v>
      </c>
      <c r="I23" s="6">
        <f t="shared" si="2"/>
        <v>0</v>
      </c>
      <c r="J23" s="6">
        <f t="shared" si="2"/>
        <v>0</v>
      </c>
    </row>
    <row r="24" spans="1:10" x14ac:dyDescent="0.25">
      <c r="A24" s="4" t="s">
        <v>93</v>
      </c>
      <c r="C24" s="6">
        <f t="shared" ref="C24:J24" si="3">C5*(1+C6)^4</f>
        <v>25918.705707954396</v>
      </c>
      <c r="D24" s="6">
        <f t="shared" si="3"/>
        <v>0</v>
      </c>
      <c r="E24" s="6">
        <f t="shared" si="3"/>
        <v>13009.993076921446</v>
      </c>
      <c r="F24" s="6">
        <f t="shared" si="3"/>
        <v>4563.0183152135396</v>
      </c>
      <c r="G24" s="6">
        <f t="shared" si="3"/>
        <v>0</v>
      </c>
      <c r="H24" s="6">
        <f t="shared" si="3"/>
        <v>0</v>
      </c>
      <c r="I24" s="6">
        <f t="shared" si="3"/>
        <v>0</v>
      </c>
      <c r="J24" s="6">
        <f t="shared" si="3"/>
        <v>0</v>
      </c>
    </row>
    <row r="25" spans="1:10" x14ac:dyDescent="0.25">
      <c r="A25" s="4" t="s">
        <v>94</v>
      </c>
      <c r="C25" s="6">
        <f t="shared" ref="C25:J25" si="4">C5*(1+C6)^5</f>
        <v>25996.461825078259</v>
      </c>
      <c r="D25" s="6">
        <f t="shared" si="4"/>
        <v>0</v>
      </c>
      <c r="E25" s="6">
        <f t="shared" si="4"/>
        <v>13101.063028459896</v>
      </c>
      <c r="F25" s="6">
        <f t="shared" si="4"/>
        <v>4685.8662226441156</v>
      </c>
      <c r="G25" s="6">
        <f t="shared" si="4"/>
        <v>0</v>
      </c>
      <c r="H25" s="6">
        <f t="shared" si="4"/>
        <v>0</v>
      </c>
      <c r="I25" s="6">
        <f t="shared" si="4"/>
        <v>0</v>
      </c>
      <c r="J25" s="6">
        <f t="shared" si="4"/>
        <v>0</v>
      </c>
    </row>
    <row r="26" spans="1:10" x14ac:dyDescent="0.25">
      <c r="A26" s="4" t="s">
        <v>95</v>
      </c>
      <c r="C26" s="7"/>
      <c r="D26" s="7"/>
      <c r="E26" s="7"/>
      <c r="F26" s="7"/>
      <c r="G26" s="7"/>
      <c r="H26" s="7"/>
      <c r="I26" s="7"/>
      <c r="J26" s="7"/>
    </row>
    <row r="27" spans="1:10" x14ac:dyDescent="0.25">
      <c r="A27" s="4" t="s">
        <v>96</v>
      </c>
      <c r="C27" s="11">
        <f t="shared" ref="C27:J27" si="5">IF(ISBLANK(C9),C7,C7+(C9-C7)*(0)/4)</f>
        <v>0.22740313783121091</v>
      </c>
      <c r="D27" s="11">
        <f t="shared" si="5"/>
        <v>0</v>
      </c>
      <c r="E27" s="11">
        <f t="shared" si="5"/>
        <v>0.19240313783121091</v>
      </c>
      <c r="F27" s="11">
        <f t="shared" si="5"/>
        <v>-1.767435190382043E-2</v>
      </c>
      <c r="G27" s="11">
        <f t="shared" si="5"/>
        <v>0</v>
      </c>
      <c r="H27" s="11">
        <f t="shared" si="5"/>
        <v>0</v>
      </c>
      <c r="I27" s="11">
        <f t="shared" si="5"/>
        <v>0</v>
      </c>
      <c r="J27" s="11">
        <f t="shared" si="5"/>
        <v>0</v>
      </c>
    </row>
    <row r="28" spans="1:10" x14ac:dyDescent="0.25">
      <c r="A28" s="4" t="s">
        <v>97</v>
      </c>
      <c r="C28" s="11">
        <f t="shared" ref="C28:J28" si="6">IF(ISBLANK(C9),C7,C7+(C9-C7)*(1)/4)</f>
        <v>0.23305235337340818</v>
      </c>
      <c r="D28" s="11">
        <f t="shared" si="6"/>
        <v>0</v>
      </c>
      <c r="E28" s="11">
        <f t="shared" si="6"/>
        <v>0.19680235337340818</v>
      </c>
      <c r="F28" s="11">
        <f t="shared" si="6"/>
        <v>-1.3424351903820429E-2</v>
      </c>
      <c r="G28" s="11">
        <f t="shared" si="6"/>
        <v>0</v>
      </c>
      <c r="H28" s="11">
        <f t="shared" si="6"/>
        <v>0</v>
      </c>
      <c r="I28" s="11">
        <f t="shared" si="6"/>
        <v>0</v>
      </c>
      <c r="J28" s="11">
        <f t="shared" si="6"/>
        <v>0</v>
      </c>
    </row>
    <row r="29" spans="1:10" x14ac:dyDescent="0.25">
      <c r="A29" s="4" t="s">
        <v>98</v>
      </c>
      <c r="C29" s="11">
        <f t="shared" ref="C29:J29" si="7">IF(ISBLANK(C9),C7,C7+(C9-C7)*(2)/4)</f>
        <v>0.23870156891560546</v>
      </c>
      <c r="D29" s="11">
        <f t="shared" si="7"/>
        <v>0</v>
      </c>
      <c r="E29" s="11">
        <f t="shared" si="7"/>
        <v>0.20120156891560545</v>
      </c>
      <c r="F29" s="11">
        <f t="shared" si="7"/>
        <v>-9.1743519038204272E-3</v>
      </c>
      <c r="G29" s="11">
        <f t="shared" si="7"/>
        <v>0</v>
      </c>
      <c r="H29" s="11">
        <f t="shared" si="7"/>
        <v>0</v>
      </c>
      <c r="I29" s="11">
        <f t="shared" si="7"/>
        <v>0</v>
      </c>
      <c r="J29" s="11">
        <f t="shared" si="7"/>
        <v>0</v>
      </c>
    </row>
    <row r="30" spans="1:10" x14ac:dyDescent="0.25">
      <c r="A30" s="4" t="s">
        <v>99</v>
      </c>
      <c r="C30" s="11">
        <f t="shared" ref="C30:J30" si="8">IF(ISBLANK(C9),C7,C7+(C9-C7)*(3)/4)</f>
        <v>0.24435078445780273</v>
      </c>
      <c r="D30" s="11">
        <f t="shared" si="8"/>
        <v>0</v>
      </c>
      <c r="E30" s="11">
        <f t="shared" si="8"/>
        <v>0.20560078445780272</v>
      </c>
      <c r="F30" s="11">
        <f t="shared" si="8"/>
        <v>-4.9243519038204252E-3</v>
      </c>
      <c r="G30" s="11">
        <f t="shared" si="8"/>
        <v>0</v>
      </c>
      <c r="H30" s="11">
        <f t="shared" si="8"/>
        <v>0</v>
      </c>
      <c r="I30" s="11">
        <f t="shared" si="8"/>
        <v>0</v>
      </c>
      <c r="J30" s="11">
        <f t="shared" si="8"/>
        <v>0</v>
      </c>
    </row>
    <row r="31" spans="1:10" x14ac:dyDescent="0.25">
      <c r="A31" s="4" t="s">
        <v>100</v>
      </c>
      <c r="C31" s="11">
        <f t="shared" ref="C31:J31" si="9">IF(ISBLANK(C9),C7,C7+(C9-C7)*(4)/4)</f>
        <v>0.25</v>
      </c>
      <c r="D31" s="11">
        <f t="shared" si="9"/>
        <v>0</v>
      </c>
      <c r="E31" s="11">
        <f t="shared" si="9"/>
        <v>0.21</v>
      </c>
      <c r="F31" s="11">
        <f t="shared" si="9"/>
        <v>-6.7435190382042487E-4</v>
      </c>
      <c r="G31" s="11">
        <f t="shared" si="9"/>
        <v>0</v>
      </c>
      <c r="H31" s="11">
        <f t="shared" si="9"/>
        <v>0</v>
      </c>
      <c r="I31" s="11">
        <f t="shared" si="9"/>
        <v>0</v>
      </c>
      <c r="J31" s="11">
        <f t="shared" si="9"/>
        <v>0</v>
      </c>
    </row>
    <row r="33" spans="1:10" x14ac:dyDescent="0.25">
      <c r="A33" s="4" t="s">
        <v>101</v>
      </c>
      <c r="C33" s="6">
        <f t="shared" ref="C33:J37" si="10">C21*C27</f>
        <v>5841.2657429368828</v>
      </c>
      <c r="D33" s="6">
        <f t="shared" si="10"/>
        <v>0</v>
      </c>
      <c r="E33" s="6">
        <f t="shared" si="10"/>
        <v>2451.3244913393632</v>
      </c>
      <c r="F33" s="6">
        <f t="shared" si="10"/>
        <v>-74.470228849421716</v>
      </c>
      <c r="G33" s="6">
        <f t="shared" si="10"/>
        <v>0</v>
      </c>
      <c r="H33" s="6">
        <f t="shared" si="10"/>
        <v>0</v>
      </c>
      <c r="I33" s="6">
        <f t="shared" si="10"/>
        <v>0</v>
      </c>
      <c r="J33" s="6">
        <f t="shared" si="10"/>
        <v>0</v>
      </c>
    </row>
    <row r="34" spans="1:10" x14ac:dyDescent="0.25">
      <c r="A34" s="4" t="s">
        <v>102</v>
      </c>
      <c r="C34" s="6">
        <f t="shared" si="10"/>
        <v>6004.3353107492694</v>
      </c>
      <c r="D34" s="6">
        <f t="shared" si="10"/>
        <v>0</v>
      </c>
      <c r="E34" s="6">
        <f t="shared" si="10"/>
        <v>2524.9245893540538</v>
      </c>
      <c r="F34" s="6">
        <f t="shared" si="10"/>
        <v>-58.085829086169035</v>
      </c>
      <c r="G34" s="6">
        <f t="shared" si="10"/>
        <v>0</v>
      </c>
      <c r="H34" s="6">
        <f t="shared" si="10"/>
        <v>0</v>
      </c>
      <c r="I34" s="6">
        <f t="shared" si="10"/>
        <v>0</v>
      </c>
      <c r="J34" s="6">
        <f t="shared" si="10"/>
        <v>0</v>
      </c>
    </row>
    <row r="35" spans="1:10" x14ac:dyDescent="0.25">
      <c r="A35" s="4" t="s">
        <v>103</v>
      </c>
      <c r="C35" s="6">
        <f t="shared" si="10"/>
        <v>6168.3307245768437</v>
      </c>
      <c r="D35" s="6">
        <f t="shared" si="10"/>
        <v>0</v>
      </c>
      <c r="E35" s="6">
        <f t="shared" si="10"/>
        <v>2599.4349738408741</v>
      </c>
      <c r="F35" s="6">
        <f t="shared" si="10"/>
        <v>-40.765233353922014</v>
      </c>
      <c r="G35" s="6">
        <f t="shared" si="10"/>
        <v>0</v>
      </c>
      <c r="H35" s="6">
        <f t="shared" si="10"/>
        <v>0</v>
      </c>
      <c r="I35" s="6">
        <f t="shared" si="10"/>
        <v>0</v>
      </c>
      <c r="J35" s="6">
        <f t="shared" si="10"/>
        <v>0</v>
      </c>
    </row>
    <row r="36" spans="1:10" x14ac:dyDescent="0.25">
      <c r="A36" s="4" t="s">
        <v>104</v>
      </c>
      <c r="C36" s="6">
        <f t="shared" si="10"/>
        <v>6333.2560718695859</v>
      </c>
      <c r="D36" s="6">
        <f t="shared" si="10"/>
        <v>0</v>
      </c>
      <c r="E36" s="6">
        <f t="shared" si="10"/>
        <v>2674.864782405632</v>
      </c>
      <c r="F36" s="6">
        <f t="shared" si="10"/>
        <v>-22.469907927689263</v>
      </c>
      <c r="G36" s="6">
        <f t="shared" si="10"/>
        <v>0</v>
      </c>
      <c r="H36" s="6">
        <f t="shared" si="10"/>
        <v>0</v>
      </c>
      <c r="I36" s="6">
        <f t="shared" si="10"/>
        <v>0</v>
      </c>
      <c r="J36" s="6">
        <f t="shared" si="10"/>
        <v>0</v>
      </c>
    </row>
    <row r="37" spans="1:10" x14ac:dyDescent="0.25">
      <c r="A37" s="4" t="s">
        <v>105</v>
      </c>
      <c r="C37" s="6">
        <f t="shared" si="10"/>
        <v>6499.1154562695647</v>
      </c>
      <c r="D37" s="6">
        <f t="shared" si="10"/>
        <v>0</v>
      </c>
      <c r="E37" s="6">
        <f t="shared" si="10"/>
        <v>2751.2232359765781</v>
      </c>
      <c r="F37" s="6">
        <f t="shared" si="10"/>
        <v>-3.1599228082878823</v>
      </c>
      <c r="G37" s="6">
        <f t="shared" si="10"/>
        <v>0</v>
      </c>
      <c r="H37" s="6">
        <f t="shared" si="10"/>
        <v>0</v>
      </c>
      <c r="I37" s="6">
        <f t="shared" si="10"/>
        <v>0</v>
      </c>
      <c r="J37" s="6">
        <f t="shared" si="10"/>
        <v>0</v>
      </c>
    </row>
    <row r="39" spans="1:10" x14ac:dyDescent="0.25">
      <c r="A39" s="4" t="s">
        <v>106</v>
      </c>
      <c r="C39" s="6">
        <f>C33*(1-Inputs!B22)</f>
        <v>4340.0604470021035</v>
      </c>
      <c r="D39" s="6">
        <f>D33*(1-Inputs!B22)</f>
        <v>0</v>
      </c>
      <c r="E39" s="6">
        <f>E33*(1-Inputs!B22)</f>
        <v>1821.3340970651468</v>
      </c>
      <c r="F39" s="6">
        <f>F33*(1-Inputs!B22)</f>
        <v>-55.331380035120333</v>
      </c>
      <c r="G39" s="6">
        <f>G33*(1-Inputs!B22)</f>
        <v>0</v>
      </c>
      <c r="H39" s="6">
        <f>H33*(1-Inputs!B22)</f>
        <v>0</v>
      </c>
      <c r="I39" s="6">
        <f>I33*(1-Inputs!B22)</f>
        <v>0</v>
      </c>
      <c r="J39" s="6">
        <f>J33*(1-Inputs!B22)</f>
        <v>0</v>
      </c>
    </row>
    <row r="40" spans="1:10" x14ac:dyDescent="0.25">
      <c r="A40" s="4" t="s">
        <v>107</v>
      </c>
      <c r="C40" s="6">
        <f>C34*(1-Inputs!B22)</f>
        <v>4461.2211358867071</v>
      </c>
      <c r="D40" s="6">
        <f>D34*(1-Inputs!B22)</f>
        <v>0</v>
      </c>
      <c r="E40" s="6">
        <f>E34*(1-Inputs!B22)</f>
        <v>1876.018969890062</v>
      </c>
      <c r="F40" s="6">
        <f>F34*(1-Inputs!B22)</f>
        <v>-43.157771011023591</v>
      </c>
      <c r="G40" s="6">
        <f>G34*(1-Inputs!B22)</f>
        <v>0</v>
      </c>
      <c r="H40" s="6">
        <f>H34*(1-Inputs!B22)</f>
        <v>0</v>
      </c>
      <c r="I40" s="6">
        <f>I34*(1-Inputs!B22)</f>
        <v>0</v>
      </c>
      <c r="J40" s="6">
        <f>J34*(1-Inputs!B22)</f>
        <v>0</v>
      </c>
    </row>
    <row r="41" spans="1:10" x14ac:dyDescent="0.25">
      <c r="A41" s="4" t="s">
        <v>108</v>
      </c>
      <c r="C41" s="6">
        <f>C35*(1-Inputs!B22)</f>
        <v>4583.069728360595</v>
      </c>
      <c r="D41" s="6">
        <f>D35*(1-Inputs!B22)</f>
        <v>0</v>
      </c>
      <c r="E41" s="6">
        <f>E35*(1-Inputs!B22)</f>
        <v>1931.3801855637694</v>
      </c>
      <c r="F41" s="6">
        <f>F35*(1-Inputs!B22)</f>
        <v>-30.288568381964055</v>
      </c>
      <c r="G41" s="6">
        <f>G35*(1-Inputs!B22)</f>
        <v>0</v>
      </c>
      <c r="H41" s="6">
        <f>H35*(1-Inputs!B22)</f>
        <v>0</v>
      </c>
      <c r="I41" s="6">
        <f>I35*(1-Inputs!B22)</f>
        <v>0</v>
      </c>
      <c r="J41" s="6">
        <f>J35*(1-Inputs!B22)</f>
        <v>0</v>
      </c>
    </row>
    <row r="42" spans="1:10" x14ac:dyDescent="0.25">
      <c r="A42" s="4" t="s">
        <v>109</v>
      </c>
      <c r="C42" s="6">
        <f>C36*(1-Inputs!B22)</f>
        <v>4705.6092613991023</v>
      </c>
      <c r="D42" s="6">
        <f>D36*(1-Inputs!B22)</f>
        <v>0</v>
      </c>
      <c r="E42" s="6">
        <f>E36*(1-Inputs!B22)</f>
        <v>1987.4245333273846</v>
      </c>
      <c r="F42" s="6">
        <f>F36*(1-Inputs!B22)</f>
        <v>-16.695141590273124</v>
      </c>
      <c r="G42" s="6">
        <f>G36*(1-Inputs!B22)</f>
        <v>0</v>
      </c>
      <c r="H42" s="6">
        <f>H36*(1-Inputs!B22)</f>
        <v>0</v>
      </c>
      <c r="I42" s="6">
        <f>I36*(1-Inputs!B22)</f>
        <v>0</v>
      </c>
      <c r="J42" s="6">
        <f>J36*(1-Inputs!B22)</f>
        <v>0</v>
      </c>
    </row>
    <row r="43" spans="1:10" x14ac:dyDescent="0.25">
      <c r="A43" s="4" t="s">
        <v>110</v>
      </c>
      <c r="C43" s="6">
        <f>C37*(1-Inputs!B22)</f>
        <v>4828.8427840082868</v>
      </c>
      <c r="D43" s="6">
        <f>D37*(1-Inputs!B22)</f>
        <v>0</v>
      </c>
      <c r="E43" s="6">
        <f>E37*(1-Inputs!B22)</f>
        <v>2044.1588643305975</v>
      </c>
      <c r="F43" s="6">
        <f>F37*(1-Inputs!B22)</f>
        <v>-2.3478226465578964</v>
      </c>
      <c r="G43" s="6">
        <f>G37*(1-Inputs!B22)</f>
        <v>0</v>
      </c>
      <c r="H43" s="6">
        <f>H37*(1-Inputs!B22)</f>
        <v>0</v>
      </c>
      <c r="I43" s="6">
        <f>I37*(1-Inputs!B22)</f>
        <v>0</v>
      </c>
      <c r="J43" s="6">
        <f>J37*(1-Inputs!B22)</f>
        <v>0</v>
      </c>
    </row>
    <row r="45" spans="1:10" x14ac:dyDescent="0.25">
      <c r="A45" s="4" t="s">
        <v>111</v>
      </c>
      <c r="C45" s="6">
        <f t="shared" ref="C45:J45" si="11">C21*IF(ISBLANK(C26),C12,C12+(C26-C12)*(0)/4)</f>
        <v>385.30244999999996</v>
      </c>
      <c r="D45" s="6">
        <f t="shared" si="11"/>
        <v>0</v>
      </c>
      <c r="E45" s="6">
        <f t="shared" si="11"/>
        <v>254.81127999999998</v>
      </c>
      <c r="F45" s="6">
        <f t="shared" si="11"/>
        <v>42.134630596171668</v>
      </c>
      <c r="G45" s="6">
        <f t="shared" si="11"/>
        <v>0</v>
      </c>
      <c r="H45" s="6">
        <f t="shared" si="11"/>
        <v>0</v>
      </c>
      <c r="I45" s="6">
        <f t="shared" si="11"/>
        <v>0</v>
      </c>
      <c r="J45" s="6">
        <f t="shared" si="11"/>
        <v>0</v>
      </c>
    </row>
    <row r="46" spans="1:10" x14ac:dyDescent="0.25">
      <c r="A46" s="4" t="s">
        <v>112</v>
      </c>
      <c r="C46" s="6">
        <f t="shared" ref="C46:J46" si="12">C22*IF(ISBLANK(C26),C12,C12+(C26-C12)*(1)/4)</f>
        <v>386.45835734999991</v>
      </c>
      <c r="D46" s="6">
        <f t="shared" si="12"/>
        <v>0</v>
      </c>
      <c r="E46" s="6">
        <f t="shared" si="12"/>
        <v>256.59495895999993</v>
      </c>
      <c r="F46" s="6">
        <f t="shared" si="12"/>
        <v>43.269000620907754</v>
      </c>
      <c r="G46" s="6">
        <f t="shared" si="12"/>
        <v>0</v>
      </c>
      <c r="H46" s="6">
        <f t="shared" si="12"/>
        <v>0</v>
      </c>
      <c r="I46" s="6">
        <f t="shared" si="12"/>
        <v>0</v>
      </c>
      <c r="J46" s="6">
        <f t="shared" si="12"/>
        <v>0</v>
      </c>
    </row>
    <row r="47" spans="1:10" x14ac:dyDescent="0.25">
      <c r="A47" s="4" t="s">
        <v>113</v>
      </c>
      <c r="C47" s="6">
        <f t="shared" ref="C47:J47" si="13">C23*IF(ISBLANK(C26),C12,C12+(C26-C12)*(2)/4)</f>
        <v>387.61773242204987</v>
      </c>
      <c r="D47" s="6">
        <f t="shared" si="13"/>
        <v>0</v>
      </c>
      <c r="E47" s="6">
        <f t="shared" si="13"/>
        <v>258.39112367271986</v>
      </c>
      <c r="F47" s="6">
        <f t="shared" si="13"/>
        <v>44.433910734279074</v>
      </c>
      <c r="G47" s="6">
        <f t="shared" si="13"/>
        <v>0</v>
      </c>
      <c r="H47" s="6">
        <f t="shared" si="13"/>
        <v>0</v>
      </c>
      <c r="I47" s="6">
        <f t="shared" si="13"/>
        <v>0</v>
      </c>
      <c r="J47" s="6">
        <f t="shared" si="13"/>
        <v>0</v>
      </c>
    </row>
    <row r="48" spans="1:10" x14ac:dyDescent="0.25">
      <c r="A48" s="4" t="s">
        <v>114</v>
      </c>
      <c r="C48" s="6">
        <f t="shared" ref="C48:J48" si="14">C24*IF(ISBLANK(C26),C12,C12+(C26-C12)*(3)/4)</f>
        <v>388.7805856193159</v>
      </c>
      <c r="D48" s="6">
        <f t="shared" si="14"/>
        <v>0</v>
      </c>
      <c r="E48" s="6">
        <f t="shared" si="14"/>
        <v>260.19986153842893</v>
      </c>
      <c r="F48" s="6">
        <f t="shared" si="14"/>
        <v>45.630183152135395</v>
      </c>
      <c r="G48" s="6">
        <f t="shared" si="14"/>
        <v>0</v>
      </c>
      <c r="H48" s="6">
        <f t="shared" si="14"/>
        <v>0</v>
      </c>
      <c r="I48" s="6">
        <f t="shared" si="14"/>
        <v>0</v>
      </c>
      <c r="J48" s="6">
        <f t="shared" si="14"/>
        <v>0</v>
      </c>
    </row>
    <row r="49" spans="1:10" x14ac:dyDescent="0.25">
      <c r="A49" s="4" t="s">
        <v>115</v>
      </c>
      <c r="C49" s="6">
        <f t="shared" ref="C49:J49" si="15">C25*IF(ISBLANK(C26),C12,C12+(C26-C12)*(4)/4)</f>
        <v>389.94692737617385</v>
      </c>
      <c r="D49" s="6">
        <f t="shared" si="15"/>
        <v>0</v>
      </c>
      <c r="E49" s="6">
        <f t="shared" si="15"/>
        <v>262.02126056919792</v>
      </c>
      <c r="F49" s="6">
        <f t="shared" si="15"/>
        <v>46.858662226441155</v>
      </c>
      <c r="G49" s="6">
        <f t="shared" si="15"/>
        <v>0</v>
      </c>
      <c r="H49" s="6">
        <f t="shared" si="15"/>
        <v>0</v>
      </c>
      <c r="I49" s="6">
        <f t="shared" si="15"/>
        <v>0</v>
      </c>
      <c r="J49" s="6">
        <f t="shared" si="15"/>
        <v>0</v>
      </c>
    </row>
    <row r="51" spans="1:10" x14ac:dyDescent="0.25">
      <c r="A51" s="4" t="s">
        <v>116</v>
      </c>
      <c r="C51" s="6">
        <f t="shared" ref="C51:J55" si="16">C39-C45</f>
        <v>3954.7579970021034</v>
      </c>
      <c r="D51" s="6">
        <f t="shared" si="16"/>
        <v>0</v>
      </c>
      <c r="E51" s="6">
        <f t="shared" si="16"/>
        <v>1566.5228170651469</v>
      </c>
      <c r="F51" s="6">
        <f t="shared" si="16"/>
        <v>-97.466010631291994</v>
      </c>
      <c r="G51" s="6">
        <f t="shared" si="16"/>
        <v>0</v>
      </c>
      <c r="H51" s="6">
        <f t="shared" si="16"/>
        <v>0</v>
      </c>
      <c r="I51" s="6">
        <f t="shared" si="16"/>
        <v>0</v>
      </c>
      <c r="J51" s="6">
        <f t="shared" si="16"/>
        <v>0</v>
      </c>
    </row>
    <row r="52" spans="1:10" x14ac:dyDescent="0.25">
      <c r="A52" s="4" t="s">
        <v>117</v>
      </c>
      <c r="C52" s="6">
        <f t="shared" si="16"/>
        <v>4074.7627785367072</v>
      </c>
      <c r="D52" s="6">
        <f t="shared" si="16"/>
        <v>0</v>
      </c>
      <c r="E52" s="6">
        <f t="shared" si="16"/>
        <v>1619.424010930062</v>
      </c>
      <c r="F52" s="6">
        <f t="shared" si="16"/>
        <v>-86.426771631931345</v>
      </c>
      <c r="G52" s="6">
        <f t="shared" si="16"/>
        <v>0</v>
      </c>
      <c r="H52" s="6">
        <f t="shared" si="16"/>
        <v>0</v>
      </c>
      <c r="I52" s="6">
        <f t="shared" si="16"/>
        <v>0</v>
      </c>
      <c r="J52" s="6">
        <f t="shared" si="16"/>
        <v>0</v>
      </c>
    </row>
    <row r="53" spans="1:10" x14ac:dyDescent="0.25">
      <c r="A53" s="4" t="s">
        <v>118</v>
      </c>
      <c r="C53" s="6">
        <f t="shared" si="16"/>
        <v>4195.4519959385452</v>
      </c>
      <c r="D53" s="6">
        <f t="shared" si="16"/>
        <v>0</v>
      </c>
      <c r="E53" s="6">
        <f t="shared" si="16"/>
        <v>1672.9890618910495</v>
      </c>
      <c r="F53" s="6">
        <f t="shared" si="16"/>
        <v>-74.722479116243136</v>
      </c>
      <c r="G53" s="6">
        <f t="shared" si="16"/>
        <v>0</v>
      </c>
      <c r="H53" s="6">
        <f t="shared" si="16"/>
        <v>0</v>
      </c>
      <c r="I53" s="6">
        <f t="shared" si="16"/>
        <v>0</v>
      </c>
      <c r="J53" s="6">
        <f t="shared" si="16"/>
        <v>0</v>
      </c>
    </row>
    <row r="54" spans="1:10" x14ac:dyDescent="0.25">
      <c r="A54" s="4" t="s">
        <v>119</v>
      </c>
      <c r="C54" s="6">
        <f t="shared" si="16"/>
        <v>4316.828675779786</v>
      </c>
      <c r="D54" s="6">
        <f t="shared" si="16"/>
        <v>0</v>
      </c>
      <c r="E54" s="6">
        <f t="shared" si="16"/>
        <v>1727.2246717889557</v>
      </c>
      <c r="F54" s="6">
        <f t="shared" si="16"/>
        <v>-62.325324742408519</v>
      </c>
      <c r="G54" s="6">
        <f t="shared" si="16"/>
        <v>0</v>
      </c>
      <c r="H54" s="6">
        <f t="shared" si="16"/>
        <v>0</v>
      </c>
      <c r="I54" s="6">
        <f t="shared" si="16"/>
        <v>0</v>
      </c>
      <c r="J54" s="6">
        <f t="shared" si="16"/>
        <v>0</v>
      </c>
    </row>
    <row r="55" spans="1:10" x14ac:dyDescent="0.25">
      <c r="A55" s="4" t="s">
        <v>120</v>
      </c>
      <c r="C55" s="6">
        <f t="shared" si="16"/>
        <v>4438.8958566321126</v>
      </c>
      <c r="D55" s="6">
        <f t="shared" si="16"/>
        <v>0</v>
      </c>
      <c r="E55" s="6">
        <f t="shared" si="16"/>
        <v>1782.1376037613995</v>
      </c>
      <c r="F55" s="6">
        <f t="shared" si="16"/>
        <v>-49.206484872999049</v>
      </c>
      <c r="G55" s="6">
        <f t="shared" si="16"/>
        <v>0</v>
      </c>
      <c r="H55" s="6">
        <f t="shared" si="16"/>
        <v>0</v>
      </c>
      <c r="I55" s="6">
        <f t="shared" si="16"/>
        <v>0</v>
      </c>
      <c r="J55" s="6">
        <f t="shared" si="16"/>
        <v>0</v>
      </c>
    </row>
    <row r="57" spans="1:10" x14ac:dyDescent="0.25">
      <c r="A57" s="4" t="s">
        <v>121</v>
      </c>
      <c r="C57" s="6">
        <f t="shared" ref="C57:J57" si="17">C51/((1+C16))</f>
        <v>3747.2789731215867</v>
      </c>
      <c r="D57" s="6">
        <f t="shared" si="17"/>
        <v>0</v>
      </c>
      <c r="E57" s="6">
        <f t="shared" si="17"/>
        <v>1479.6542788944571</v>
      </c>
      <c r="F57" s="6">
        <f t="shared" si="17"/>
        <v>-90.927118308467286</v>
      </c>
      <c r="G57" s="6">
        <f t="shared" si="17"/>
        <v>0</v>
      </c>
      <c r="H57" s="6">
        <f t="shared" si="17"/>
        <v>0</v>
      </c>
      <c r="I57" s="6">
        <f t="shared" si="17"/>
        <v>0</v>
      </c>
      <c r="J57" s="6">
        <f t="shared" si="17"/>
        <v>0</v>
      </c>
    </row>
    <row r="58" spans="1:10" x14ac:dyDescent="0.25">
      <c r="A58" s="4" t="s">
        <v>122</v>
      </c>
      <c r="C58" s="6">
        <f t="shared" ref="C58:J58" si="18">C52/((1+C16)*(1+C16+(C104-C16)*1/5))</f>
        <v>3647.5809206109157</v>
      </c>
      <c r="D58" s="6">
        <f t="shared" si="18"/>
        <v>0</v>
      </c>
      <c r="E58" s="6">
        <f t="shared" si="18"/>
        <v>1440.4820091479369</v>
      </c>
      <c r="F58" s="6">
        <f t="shared" si="18"/>
        <v>-75.23118249141524</v>
      </c>
      <c r="G58" s="6">
        <f t="shared" si="18"/>
        <v>0</v>
      </c>
      <c r="H58" s="6">
        <f t="shared" si="18"/>
        <v>0</v>
      </c>
      <c r="I58" s="6">
        <f t="shared" si="18"/>
        <v>0</v>
      </c>
      <c r="J58" s="6">
        <f t="shared" si="18"/>
        <v>0</v>
      </c>
    </row>
    <row r="59" spans="1:10" x14ac:dyDescent="0.25">
      <c r="A59" s="4" t="s">
        <v>123</v>
      </c>
      <c r="C59" s="6">
        <f t="shared" ref="C59:J59" si="19">C53/((1+C16)*(1+C16+(C104-C16)*1/5)*(1+C16+(C104-C16)*2/5))</f>
        <v>3537.5456242149198</v>
      </c>
      <c r="D59" s="6">
        <f t="shared" si="19"/>
        <v>0</v>
      </c>
      <c r="E59" s="6">
        <f t="shared" si="19"/>
        <v>1397.2309104016822</v>
      </c>
      <c r="F59" s="6">
        <f t="shared" si="19"/>
        <v>-60.698696419787247</v>
      </c>
      <c r="G59" s="6">
        <f t="shared" si="19"/>
        <v>0</v>
      </c>
      <c r="H59" s="6">
        <f t="shared" si="19"/>
        <v>0</v>
      </c>
      <c r="I59" s="6">
        <f t="shared" si="19"/>
        <v>0</v>
      </c>
      <c r="J59" s="6">
        <f t="shared" si="19"/>
        <v>0</v>
      </c>
    </row>
    <row r="60" spans="1:10" x14ac:dyDescent="0.25">
      <c r="A60" s="4" t="s">
        <v>124</v>
      </c>
      <c r="C60" s="6">
        <f t="shared" ref="C60:J60" si="20">C54/((1+C16)*(1+C16+(C104-C16)*1/5)*(1+C16+(C104-C16)*2/5)*(1+C16+(C104-C16)*3/5))</f>
        <v>3418.4307549229147</v>
      </c>
      <c r="D60" s="6">
        <f t="shared" si="20"/>
        <v>0</v>
      </c>
      <c r="E60" s="6">
        <f t="shared" si="20"/>
        <v>1350.3914344018524</v>
      </c>
      <c r="F60" s="6">
        <f t="shared" si="20"/>
        <v>-47.254185460775588</v>
      </c>
      <c r="G60" s="6">
        <f t="shared" si="20"/>
        <v>0</v>
      </c>
      <c r="H60" s="6">
        <f t="shared" si="20"/>
        <v>0</v>
      </c>
      <c r="I60" s="6">
        <f t="shared" si="20"/>
        <v>0</v>
      </c>
      <c r="J60" s="6">
        <f t="shared" si="20"/>
        <v>0</v>
      </c>
    </row>
    <row r="61" spans="1:10" x14ac:dyDescent="0.25">
      <c r="A61" s="4" t="s">
        <v>125</v>
      </c>
      <c r="C61" s="6">
        <f t="shared" ref="C61:J61" si="21">C55/((1+C16)*(1+C16+(C104-C16)*1/5)*(1+C16+(C104-C16)*2/5)*(1+C16+(C104-C16)*3/5)*(1+C16+(C104-C16)*4/5))</f>
        <v>3291.5266547243223</v>
      </c>
      <c r="D61" s="6">
        <f t="shared" si="21"/>
        <v>0</v>
      </c>
      <c r="E61" s="6">
        <f t="shared" si="21"/>
        <v>1300.4678084275251</v>
      </c>
      <c r="F61" s="6">
        <f t="shared" si="21"/>
        <v>-34.826904011732907</v>
      </c>
      <c r="G61" s="6">
        <f t="shared" si="21"/>
        <v>0</v>
      </c>
      <c r="H61" s="6">
        <f t="shared" si="21"/>
        <v>0</v>
      </c>
      <c r="I61" s="6">
        <f t="shared" si="21"/>
        <v>0</v>
      </c>
      <c r="J61" s="6">
        <f t="shared" si="21"/>
        <v>0</v>
      </c>
    </row>
    <row r="62" spans="1:10" x14ac:dyDescent="0.25">
      <c r="A62" s="3" t="s">
        <v>126</v>
      </c>
    </row>
    <row r="63" spans="1:10" x14ac:dyDescent="0.25">
      <c r="A63" s="4" t="s">
        <v>127</v>
      </c>
      <c r="C63" s="6">
        <f t="shared" ref="C63:J63" si="22">C25*(1+(C6+(C13-C6)*1/5))</f>
        <v>26085.998533954382</v>
      </c>
      <c r="D63" s="6">
        <f t="shared" si="22"/>
        <v>0</v>
      </c>
      <c r="E63" s="6">
        <f t="shared" si="22"/>
        <v>13209.070658601988</v>
      </c>
      <c r="F63" s="6">
        <f t="shared" si="22"/>
        <v>4799.1807603277484</v>
      </c>
      <c r="G63" s="6">
        <f t="shared" si="22"/>
        <v>0</v>
      </c>
      <c r="H63" s="6">
        <f t="shared" si="22"/>
        <v>0</v>
      </c>
      <c r="I63" s="6">
        <f t="shared" si="22"/>
        <v>0</v>
      </c>
      <c r="J63" s="6">
        <f t="shared" si="22"/>
        <v>0</v>
      </c>
    </row>
    <row r="64" spans="1:10" x14ac:dyDescent="0.25">
      <c r="A64" s="4" t="s">
        <v>128</v>
      </c>
      <c r="C64" s="6">
        <f t="shared" ref="C64:J64" si="23">C63*(1+(C6+(C13-C6)*2/5))</f>
        <v>26187.430718669639</v>
      </c>
      <c r="D64" s="6">
        <f t="shared" si="23"/>
        <v>0</v>
      </c>
      <c r="E64" s="6">
        <f t="shared" si="23"/>
        <v>13334.403294750906</v>
      </c>
      <c r="F64" s="6">
        <f t="shared" si="23"/>
        <v>4902.0842312406812</v>
      </c>
      <c r="G64" s="6">
        <f t="shared" si="23"/>
        <v>0</v>
      </c>
      <c r="H64" s="6">
        <f t="shared" si="23"/>
        <v>0</v>
      </c>
      <c r="I64" s="6">
        <f t="shared" si="23"/>
        <v>0</v>
      </c>
      <c r="J64" s="6">
        <f t="shared" si="23"/>
        <v>0</v>
      </c>
    </row>
    <row r="65" spans="1:10" x14ac:dyDescent="0.25">
      <c r="A65" s="4" t="s">
        <v>129</v>
      </c>
      <c r="C65" s="6">
        <f t="shared" ref="C65:J65" si="24">C64*(1+(C6+(C13-C6)*3/5))</f>
        <v>26300.889459455655</v>
      </c>
      <c r="D65" s="6">
        <f t="shared" si="24"/>
        <v>0</v>
      </c>
      <c r="E65" s="6">
        <f t="shared" si="24"/>
        <v>13477.515642309403</v>
      </c>
      <c r="F65" s="6">
        <f t="shared" si="24"/>
        <v>4993.760897321331</v>
      </c>
      <c r="G65" s="6">
        <f t="shared" si="24"/>
        <v>0</v>
      </c>
      <c r="H65" s="6">
        <f t="shared" si="24"/>
        <v>0</v>
      </c>
      <c r="I65" s="6">
        <f t="shared" si="24"/>
        <v>0</v>
      </c>
      <c r="J65" s="6">
        <f t="shared" si="24"/>
        <v>0</v>
      </c>
    </row>
    <row r="66" spans="1:10" x14ac:dyDescent="0.25">
      <c r="A66" s="4" t="s">
        <v>130</v>
      </c>
      <c r="C66" s="6">
        <f t="shared" ref="C66:J66" si="25">C65*(1+(C6+(C13-C6)*4/5))</f>
        <v>26426.522314174454</v>
      </c>
      <c r="D66" s="6">
        <f t="shared" si="25"/>
        <v>0</v>
      </c>
      <c r="E66" s="6">
        <f t="shared" si="25"/>
        <v>13638.932519282314</v>
      </c>
      <c r="F66" s="6">
        <f t="shared" si="25"/>
        <v>5073.4675890741009</v>
      </c>
      <c r="G66" s="6">
        <f t="shared" si="25"/>
        <v>0</v>
      </c>
      <c r="H66" s="6">
        <f t="shared" si="25"/>
        <v>0</v>
      </c>
      <c r="I66" s="6">
        <f t="shared" si="25"/>
        <v>0</v>
      </c>
      <c r="J66" s="6">
        <f t="shared" si="25"/>
        <v>0</v>
      </c>
    </row>
    <row r="67" spans="1:10" x14ac:dyDescent="0.25">
      <c r="A67" s="4" t="s">
        <v>131</v>
      </c>
      <c r="C67" s="6">
        <f t="shared" ref="C67:J67" si="26">C66*(1+(C6+(C13-C6)*5/5))</f>
        <v>26564.493637244399</v>
      </c>
      <c r="D67" s="6">
        <f t="shared" si="26"/>
        <v>0</v>
      </c>
      <c r="E67" s="6">
        <f t="shared" si="26"/>
        <v>13819.25204618767</v>
      </c>
      <c r="F67" s="6">
        <f t="shared" si="26"/>
        <v>5140.5436065071453</v>
      </c>
      <c r="G67" s="6">
        <f t="shared" si="26"/>
        <v>0</v>
      </c>
      <c r="H67" s="6">
        <f t="shared" si="26"/>
        <v>0</v>
      </c>
      <c r="I67" s="6">
        <f t="shared" si="26"/>
        <v>0</v>
      </c>
      <c r="J67" s="6">
        <f t="shared" si="26"/>
        <v>0</v>
      </c>
    </row>
    <row r="69" spans="1:10" x14ac:dyDescent="0.25">
      <c r="A69" s="4" t="s">
        <v>132</v>
      </c>
      <c r="C69" s="11">
        <f t="shared" ref="C69:J69" si="27">IF(ISBLANK(C9),C7,C9)</f>
        <v>0.25</v>
      </c>
      <c r="D69" s="11">
        <f t="shared" si="27"/>
        <v>0</v>
      </c>
      <c r="E69" s="11">
        <f t="shared" si="27"/>
        <v>0.21</v>
      </c>
      <c r="F69" s="11">
        <f t="shared" si="27"/>
        <v>-6.7435190382042487E-4</v>
      </c>
      <c r="G69" s="11">
        <f t="shared" si="27"/>
        <v>0</v>
      </c>
      <c r="H69" s="11">
        <f t="shared" si="27"/>
        <v>0</v>
      </c>
      <c r="I69" s="11">
        <f t="shared" si="27"/>
        <v>0</v>
      </c>
      <c r="J69" s="11">
        <f t="shared" si="27"/>
        <v>0</v>
      </c>
    </row>
    <row r="70" spans="1:10" x14ac:dyDescent="0.25">
      <c r="A70" s="4" t="s">
        <v>133</v>
      </c>
      <c r="C70" s="11">
        <f t="shared" ref="C70:J70" si="28">IF(ISBLANK(C9),C7,C9)</f>
        <v>0.25</v>
      </c>
      <c r="D70" s="11">
        <f t="shared" si="28"/>
        <v>0</v>
      </c>
      <c r="E70" s="11">
        <f t="shared" si="28"/>
        <v>0.21</v>
      </c>
      <c r="F70" s="11">
        <f t="shared" si="28"/>
        <v>-6.7435190382042487E-4</v>
      </c>
      <c r="G70" s="11">
        <f t="shared" si="28"/>
        <v>0</v>
      </c>
      <c r="H70" s="11">
        <f t="shared" si="28"/>
        <v>0</v>
      </c>
      <c r="I70" s="11">
        <f t="shared" si="28"/>
        <v>0</v>
      </c>
      <c r="J70" s="11">
        <f t="shared" si="28"/>
        <v>0</v>
      </c>
    </row>
    <row r="71" spans="1:10" x14ac:dyDescent="0.25">
      <c r="A71" s="4" t="s">
        <v>134</v>
      </c>
      <c r="C71" s="11">
        <f t="shared" ref="C71:J71" si="29">IF(ISBLANK(C9),C7,C9)</f>
        <v>0.25</v>
      </c>
      <c r="D71" s="11">
        <f t="shared" si="29"/>
        <v>0</v>
      </c>
      <c r="E71" s="11">
        <f t="shared" si="29"/>
        <v>0.21</v>
      </c>
      <c r="F71" s="11">
        <f t="shared" si="29"/>
        <v>-6.7435190382042487E-4</v>
      </c>
      <c r="G71" s="11">
        <f t="shared" si="29"/>
        <v>0</v>
      </c>
      <c r="H71" s="11">
        <f t="shared" si="29"/>
        <v>0</v>
      </c>
      <c r="I71" s="11">
        <f t="shared" si="29"/>
        <v>0</v>
      </c>
      <c r="J71" s="11">
        <f t="shared" si="29"/>
        <v>0</v>
      </c>
    </row>
    <row r="72" spans="1:10" x14ac:dyDescent="0.25">
      <c r="A72" s="4" t="s">
        <v>135</v>
      </c>
      <c r="C72" s="11">
        <f t="shared" ref="C72:J72" si="30">IF(ISBLANK(C9),C7,C9)</f>
        <v>0.25</v>
      </c>
      <c r="D72" s="11">
        <f t="shared" si="30"/>
        <v>0</v>
      </c>
      <c r="E72" s="11">
        <f t="shared" si="30"/>
        <v>0.21</v>
      </c>
      <c r="F72" s="11">
        <f t="shared" si="30"/>
        <v>-6.7435190382042487E-4</v>
      </c>
      <c r="G72" s="11">
        <f t="shared" si="30"/>
        <v>0</v>
      </c>
      <c r="H72" s="11">
        <f t="shared" si="30"/>
        <v>0</v>
      </c>
      <c r="I72" s="11">
        <f t="shared" si="30"/>
        <v>0</v>
      </c>
      <c r="J72" s="11">
        <f t="shared" si="30"/>
        <v>0</v>
      </c>
    </row>
    <row r="73" spans="1:10" x14ac:dyDescent="0.25">
      <c r="A73" s="4" t="s">
        <v>136</v>
      </c>
      <c r="C73" s="11">
        <f t="shared" ref="C73:J73" si="31">IF(ISBLANK(C9),C7,C9)</f>
        <v>0.25</v>
      </c>
      <c r="D73" s="11">
        <f t="shared" si="31"/>
        <v>0</v>
      </c>
      <c r="E73" s="11">
        <f t="shared" si="31"/>
        <v>0.21</v>
      </c>
      <c r="F73" s="11">
        <f t="shared" si="31"/>
        <v>-6.7435190382042487E-4</v>
      </c>
      <c r="G73" s="11">
        <f t="shared" si="31"/>
        <v>0</v>
      </c>
      <c r="H73" s="11">
        <f t="shared" si="31"/>
        <v>0</v>
      </c>
      <c r="I73" s="11">
        <f t="shared" si="31"/>
        <v>0</v>
      </c>
      <c r="J73" s="11">
        <f t="shared" si="31"/>
        <v>0</v>
      </c>
    </row>
    <row r="75" spans="1:10" x14ac:dyDescent="0.25">
      <c r="A75" s="4" t="s">
        <v>137</v>
      </c>
      <c r="C75" s="6">
        <f t="shared" ref="C75:J79" si="32">C63*C69</f>
        <v>6521.4996334885955</v>
      </c>
      <c r="D75" s="6">
        <f t="shared" si="32"/>
        <v>0</v>
      </c>
      <c r="E75" s="6">
        <f t="shared" si="32"/>
        <v>2773.9048383064173</v>
      </c>
      <c r="F75" s="6">
        <f t="shared" si="32"/>
        <v>-3.2363366825053714</v>
      </c>
      <c r="G75" s="6">
        <f t="shared" si="32"/>
        <v>0</v>
      </c>
      <c r="H75" s="6">
        <f t="shared" si="32"/>
        <v>0</v>
      </c>
      <c r="I75" s="6">
        <f t="shared" si="32"/>
        <v>0</v>
      </c>
      <c r="J75" s="6">
        <f t="shared" si="32"/>
        <v>0</v>
      </c>
    </row>
    <row r="76" spans="1:10" x14ac:dyDescent="0.25">
      <c r="A76" s="4" t="s">
        <v>138</v>
      </c>
      <c r="C76" s="6">
        <f t="shared" si="32"/>
        <v>6546.8576796674097</v>
      </c>
      <c r="D76" s="6">
        <f t="shared" si="32"/>
        <v>0</v>
      </c>
      <c r="E76" s="6">
        <f t="shared" si="32"/>
        <v>2800.2246918976903</v>
      </c>
      <c r="F76" s="6">
        <f t="shared" si="32"/>
        <v>-3.3057298340252372</v>
      </c>
      <c r="G76" s="6">
        <f t="shared" si="32"/>
        <v>0</v>
      </c>
      <c r="H76" s="6">
        <f t="shared" si="32"/>
        <v>0</v>
      </c>
      <c r="I76" s="6">
        <f t="shared" si="32"/>
        <v>0</v>
      </c>
      <c r="J76" s="6">
        <f t="shared" si="32"/>
        <v>0</v>
      </c>
    </row>
    <row r="77" spans="1:10" x14ac:dyDescent="0.25">
      <c r="A77" s="4" t="s">
        <v>139</v>
      </c>
      <c r="C77" s="6">
        <f t="shared" si="32"/>
        <v>6575.2223648639138</v>
      </c>
      <c r="D77" s="6">
        <f t="shared" si="32"/>
        <v>0</v>
      </c>
      <c r="E77" s="6">
        <f t="shared" si="32"/>
        <v>2830.2782848849747</v>
      </c>
      <c r="F77" s="6">
        <f t="shared" si="32"/>
        <v>-3.3675521683326326</v>
      </c>
      <c r="G77" s="6">
        <f t="shared" si="32"/>
        <v>0</v>
      </c>
      <c r="H77" s="6">
        <f t="shared" si="32"/>
        <v>0</v>
      </c>
      <c r="I77" s="6">
        <f t="shared" si="32"/>
        <v>0</v>
      </c>
      <c r="J77" s="6">
        <f t="shared" si="32"/>
        <v>0</v>
      </c>
    </row>
    <row r="78" spans="1:10" x14ac:dyDescent="0.25">
      <c r="A78" s="4" t="s">
        <v>140</v>
      </c>
      <c r="C78" s="6">
        <f t="shared" si="32"/>
        <v>6606.6305785436134</v>
      </c>
      <c r="D78" s="6">
        <f t="shared" si="32"/>
        <v>0</v>
      </c>
      <c r="E78" s="6">
        <f t="shared" si="32"/>
        <v>2864.1758290492858</v>
      </c>
      <c r="F78" s="6">
        <f t="shared" si="32"/>
        <v>-3.4213025276633409</v>
      </c>
      <c r="G78" s="6">
        <f t="shared" si="32"/>
        <v>0</v>
      </c>
      <c r="H78" s="6">
        <f t="shared" si="32"/>
        <v>0</v>
      </c>
      <c r="I78" s="6">
        <f t="shared" si="32"/>
        <v>0</v>
      </c>
      <c r="J78" s="6">
        <f t="shared" si="32"/>
        <v>0</v>
      </c>
    </row>
    <row r="79" spans="1:10" x14ac:dyDescent="0.25">
      <c r="A79" s="4" t="s">
        <v>141</v>
      </c>
      <c r="C79" s="6">
        <f t="shared" si="32"/>
        <v>6641.1234093110997</v>
      </c>
      <c r="D79" s="6">
        <f t="shared" si="32"/>
        <v>0</v>
      </c>
      <c r="E79" s="6">
        <f t="shared" si="32"/>
        <v>2902.0429296994107</v>
      </c>
      <c r="F79" s="6">
        <f t="shared" si="32"/>
        <v>-3.4665353677200064</v>
      </c>
      <c r="G79" s="6">
        <f t="shared" si="32"/>
        <v>0</v>
      </c>
      <c r="H79" s="6">
        <f t="shared" si="32"/>
        <v>0</v>
      </c>
      <c r="I79" s="6">
        <f t="shared" si="32"/>
        <v>0</v>
      </c>
      <c r="J79" s="6">
        <f t="shared" si="32"/>
        <v>0</v>
      </c>
    </row>
    <row r="81" spans="1:10" x14ac:dyDescent="0.25">
      <c r="A81" s="4" t="s">
        <v>142</v>
      </c>
      <c r="C81" s="6">
        <f>C75*(1-Inputs!B22)</f>
        <v>4845.4742276820261</v>
      </c>
      <c r="D81" s="6">
        <f>D75*(1-Inputs!B22)</f>
        <v>0</v>
      </c>
      <c r="E81" s="6">
        <f>E75*(1-Inputs!B22)</f>
        <v>2061.0112948616679</v>
      </c>
      <c r="F81" s="6">
        <f>F75*(1-Inputs!B22)</f>
        <v>-2.4045981551014908</v>
      </c>
      <c r="G81" s="6">
        <f>G75*(1-Inputs!B22)</f>
        <v>0</v>
      </c>
      <c r="H81" s="6">
        <f>H75*(1-Inputs!B22)</f>
        <v>0</v>
      </c>
      <c r="I81" s="6">
        <f>I75*(1-Inputs!B22)</f>
        <v>0</v>
      </c>
      <c r="J81" s="6">
        <f>J75*(1-Inputs!B22)</f>
        <v>0</v>
      </c>
    </row>
    <row r="82" spans="1:10" x14ac:dyDescent="0.25">
      <c r="A82" s="4" t="s">
        <v>143</v>
      </c>
      <c r="C82" s="6">
        <f>C76*(1-Inputs!B22)</f>
        <v>4864.3152559928858</v>
      </c>
      <c r="D82" s="6">
        <f>D76*(1-Inputs!B22)</f>
        <v>0</v>
      </c>
      <c r="E82" s="6">
        <f>E76*(1-Inputs!B22)</f>
        <v>2080.5669460799841</v>
      </c>
      <c r="F82" s="6">
        <f>F76*(1-Inputs!B22)</f>
        <v>-2.4561572666807514</v>
      </c>
      <c r="G82" s="6">
        <f>G76*(1-Inputs!B22)</f>
        <v>0</v>
      </c>
      <c r="H82" s="6">
        <f>H76*(1-Inputs!B22)</f>
        <v>0</v>
      </c>
      <c r="I82" s="6">
        <f>I76*(1-Inputs!B22)</f>
        <v>0</v>
      </c>
      <c r="J82" s="6">
        <f>J76*(1-Inputs!B22)</f>
        <v>0</v>
      </c>
    </row>
    <row r="83" spans="1:10" x14ac:dyDescent="0.25">
      <c r="A83" s="4" t="s">
        <v>144</v>
      </c>
      <c r="C83" s="6">
        <f>C77*(1-Inputs!B22)</f>
        <v>4885.3902170938882</v>
      </c>
      <c r="D83" s="6">
        <f>D77*(1-Inputs!B22)</f>
        <v>0</v>
      </c>
      <c r="E83" s="6">
        <f>E77*(1-Inputs!B22)</f>
        <v>2102.8967656695363</v>
      </c>
      <c r="F83" s="6">
        <f>F77*(1-Inputs!B22)</f>
        <v>-2.5020912610711461</v>
      </c>
      <c r="G83" s="6">
        <f>G77*(1-Inputs!B22)</f>
        <v>0</v>
      </c>
      <c r="H83" s="6">
        <f>H77*(1-Inputs!B22)</f>
        <v>0</v>
      </c>
      <c r="I83" s="6">
        <f>I77*(1-Inputs!B22)</f>
        <v>0</v>
      </c>
      <c r="J83" s="6">
        <f>J77*(1-Inputs!B22)</f>
        <v>0</v>
      </c>
    </row>
    <row r="84" spans="1:10" x14ac:dyDescent="0.25">
      <c r="A84" s="4" t="s">
        <v>145</v>
      </c>
      <c r="C84" s="6">
        <f>C78*(1-Inputs!B22)</f>
        <v>4908.7265198579043</v>
      </c>
      <c r="D84" s="6">
        <f>D78*(1-Inputs!B22)</f>
        <v>0</v>
      </c>
      <c r="E84" s="6">
        <f>E78*(1-Inputs!B22)</f>
        <v>2128.0826409836195</v>
      </c>
      <c r="F84" s="6">
        <f>F78*(1-Inputs!B22)</f>
        <v>-2.5420277780538623</v>
      </c>
      <c r="G84" s="6">
        <f>G78*(1-Inputs!B22)</f>
        <v>0</v>
      </c>
      <c r="H84" s="6">
        <f>H78*(1-Inputs!B22)</f>
        <v>0</v>
      </c>
      <c r="I84" s="6">
        <f>I78*(1-Inputs!B22)</f>
        <v>0</v>
      </c>
      <c r="J84" s="6">
        <f>J78*(1-Inputs!B22)</f>
        <v>0</v>
      </c>
    </row>
    <row r="85" spans="1:10" x14ac:dyDescent="0.25">
      <c r="A85" s="4" t="s">
        <v>146</v>
      </c>
      <c r="C85" s="6">
        <f>C79*(1-Inputs!B22)</f>
        <v>4934.3546931181472</v>
      </c>
      <c r="D85" s="6">
        <f>D79*(1-Inputs!B22)</f>
        <v>0</v>
      </c>
      <c r="E85" s="6">
        <f>E79*(1-Inputs!B22)</f>
        <v>2156.2178967666623</v>
      </c>
      <c r="F85" s="6">
        <f>F79*(1-Inputs!B22)</f>
        <v>-2.5756357782159647</v>
      </c>
      <c r="G85" s="6">
        <f>G79*(1-Inputs!B22)</f>
        <v>0</v>
      </c>
      <c r="H85" s="6">
        <f>H79*(1-Inputs!B22)</f>
        <v>0</v>
      </c>
      <c r="I85" s="6">
        <f>I79*(1-Inputs!B22)</f>
        <v>0</v>
      </c>
      <c r="J85" s="6">
        <f>J79*(1-Inputs!B22)</f>
        <v>0</v>
      </c>
    </row>
    <row r="87" spans="1:10" x14ac:dyDescent="0.25">
      <c r="A87" s="4" t="s">
        <v>147</v>
      </c>
      <c r="C87" s="6">
        <f t="shared" ref="C87:J87" si="33">C63*MAX(IF(ISBLANK(C26),C12,C26),0)</f>
        <v>391.28997800931569</v>
      </c>
      <c r="D87" s="6">
        <f t="shared" si="33"/>
        <v>0</v>
      </c>
      <c r="E87" s="6">
        <f t="shared" si="33"/>
        <v>264.18141317203975</v>
      </c>
      <c r="F87" s="6">
        <f t="shared" si="33"/>
        <v>47.991807603277486</v>
      </c>
      <c r="G87" s="6">
        <f t="shared" si="33"/>
        <v>0</v>
      </c>
      <c r="H87" s="6">
        <f t="shared" si="33"/>
        <v>0</v>
      </c>
      <c r="I87" s="6">
        <f t="shared" si="33"/>
        <v>0</v>
      </c>
      <c r="J87" s="6">
        <f t="shared" si="33"/>
        <v>0</v>
      </c>
    </row>
    <row r="88" spans="1:10" x14ac:dyDescent="0.25">
      <c r="A88" s="4" t="s">
        <v>148</v>
      </c>
      <c r="C88" s="6">
        <f t="shared" ref="C88:J88" si="34">C64*MAX(IF(ISBLANK(C26),C12,C26),0)</f>
        <v>392.81146078004457</v>
      </c>
      <c r="D88" s="6">
        <f t="shared" si="34"/>
        <v>0</v>
      </c>
      <c r="E88" s="6">
        <f t="shared" si="34"/>
        <v>266.6880658950181</v>
      </c>
      <c r="F88" s="6">
        <f t="shared" si="34"/>
        <v>49.020842312406813</v>
      </c>
      <c r="G88" s="6">
        <f t="shared" si="34"/>
        <v>0</v>
      </c>
      <c r="H88" s="6">
        <f t="shared" si="34"/>
        <v>0</v>
      </c>
      <c r="I88" s="6">
        <f t="shared" si="34"/>
        <v>0</v>
      </c>
      <c r="J88" s="6">
        <f t="shared" si="34"/>
        <v>0</v>
      </c>
    </row>
    <row r="89" spans="1:10" x14ac:dyDescent="0.25">
      <c r="A89" s="4" t="s">
        <v>149</v>
      </c>
      <c r="C89" s="6">
        <f t="shared" ref="C89:J89" si="35">C65*MAX(IF(ISBLANK(C26),C12,C26),0)</f>
        <v>394.51334189183478</v>
      </c>
      <c r="D89" s="6">
        <f t="shared" si="35"/>
        <v>0</v>
      </c>
      <c r="E89" s="6">
        <f t="shared" si="35"/>
        <v>269.55031284618809</v>
      </c>
      <c r="F89" s="6">
        <f t="shared" si="35"/>
        <v>49.937608973213308</v>
      </c>
      <c r="G89" s="6">
        <f t="shared" si="35"/>
        <v>0</v>
      </c>
      <c r="H89" s="6">
        <f t="shared" si="35"/>
        <v>0</v>
      </c>
      <c r="I89" s="6">
        <f t="shared" si="35"/>
        <v>0</v>
      </c>
      <c r="J89" s="6">
        <f t="shared" si="35"/>
        <v>0</v>
      </c>
    </row>
    <row r="90" spans="1:10" x14ac:dyDescent="0.25">
      <c r="A90" s="4" t="s">
        <v>150</v>
      </c>
      <c r="C90" s="6">
        <f t="shared" ref="C90:J90" si="36">C66*MAX(IF(ISBLANK(C26),C12,C26),0)</f>
        <v>396.39783471261677</v>
      </c>
      <c r="D90" s="6">
        <f t="shared" si="36"/>
        <v>0</v>
      </c>
      <c r="E90" s="6">
        <f t="shared" si="36"/>
        <v>272.7786503856463</v>
      </c>
      <c r="F90" s="6">
        <f t="shared" si="36"/>
        <v>50.734675890741009</v>
      </c>
      <c r="G90" s="6">
        <f t="shared" si="36"/>
        <v>0</v>
      </c>
      <c r="H90" s="6">
        <f t="shared" si="36"/>
        <v>0</v>
      </c>
      <c r="I90" s="6">
        <f t="shared" si="36"/>
        <v>0</v>
      </c>
      <c r="J90" s="6">
        <f t="shared" si="36"/>
        <v>0</v>
      </c>
    </row>
    <row r="91" spans="1:10" x14ac:dyDescent="0.25">
      <c r="A91" s="4" t="s">
        <v>151</v>
      </c>
      <c r="C91" s="6">
        <f t="shared" ref="C91:J91" si="37">C67*MAX(IF(ISBLANK(C26),C12,C26),0)</f>
        <v>398.46740455866598</v>
      </c>
      <c r="D91" s="6">
        <f t="shared" si="37"/>
        <v>0</v>
      </c>
      <c r="E91" s="6">
        <f t="shared" si="37"/>
        <v>276.38504092375342</v>
      </c>
      <c r="F91" s="6">
        <f t="shared" si="37"/>
        <v>51.405436065071456</v>
      </c>
      <c r="G91" s="6">
        <f t="shared" si="37"/>
        <v>0</v>
      </c>
      <c r="H91" s="6">
        <f t="shared" si="37"/>
        <v>0</v>
      </c>
      <c r="I91" s="6">
        <f t="shared" si="37"/>
        <v>0</v>
      </c>
      <c r="J91" s="6">
        <f t="shared" si="37"/>
        <v>0</v>
      </c>
    </row>
    <row r="93" spans="1:10" x14ac:dyDescent="0.25">
      <c r="A93" s="4" t="s">
        <v>152</v>
      </c>
      <c r="C93" s="6">
        <f t="shared" ref="C93:J97" si="38">C81-C87</f>
        <v>4454.1842496727104</v>
      </c>
      <c r="D93" s="6">
        <f t="shared" si="38"/>
        <v>0</v>
      </c>
      <c r="E93" s="6">
        <f t="shared" si="38"/>
        <v>1796.8298816896281</v>
      </c>
      <c r="F93" s="6">
        <f t="shared" si="38"/>
        <v>-50.396405758378975</v>
      </c>
      <c r="G93" s="6">
        <f t="shared" si="38"/>
        <v>0</v>
      </c>
      <c r="H93" s="6">
        <f t="shared" si="38"/>
        <v>0</v>
      </c>
      <c r="I93" s="6">
        <f t="shared" si="38"/>
        <v>0</v>
      </c>
      <c r="J93" s="6">
        <f t="shared" si="38"/>
        <v>0</v>
      </c>
    </row>
    <row r="94" spans="1:10" x14ac:dyDescent="0.25">
      <c r="A94" s="4" t="s">
        <v>153</v>
      </c>
      <c r="C94" s="6">
        <f t="shared" si="38"/>
        <v>4471.5037952128414</v>
      </c>
      <c r="D94" s="6">
        <f t="shared" si="38"/>
        <v>0</v>
      </c>
      <c r="E94" s="6">
        <f t="shared" si="38"/>
        <v>1813.878880184966</v>
      </c>
      <c r="F94" s="6">
        <f t="shared" si="38"/>
        <v>-51.476999579087561</v>
      </c>
      <c r="G94" s="6">
        <f t="shared" si="38"/>
        <v>0</v>
      </c>
      <c r="H94" s="6">
        <f t="shared" si="38"/>
        <v>0</v>
      </c>
      <c r="I94" s="6">
        <f t="shared" si="38"/>
        <v>0</v>
      </c>
      <c r="J94" s="6">
        <f t="shared" si="38"/>
        <v>0</v>
      </c>
    </row>
    <row r="95" spans="1:10" x14ac:dyDescent="0.25">
      <c r="A95" s="4" t="s">
        <v>154</v>
      </c>
      <c r="C95" s="6">
        <f t="shared" si="38"/>
        <v>4490.8768752020533</v>
      </c>
      <c r="D95" s="6">
        <f t="shared" si="38"/>
        <v>0</v>
      </c>
      <c r="E95" s="6">
        <f t="shared" si="38"/>
        <v>1833.3464528233483</v>
      </c>
      <c r="F95" s="6">
        <f t="shared" si="38"/>
        <v>-52.439700234284452</v>
      </c>
      <c r="G95" s="6">
        <f t="shared" si="38"/>
        <v>0</v>
      </c>
      <c r="H95" s="6">
        <f t="shared" si="38"/>
        <v>0</v>
      </c>
      <c r="I95" s="6">
        <f t="shared" si="38"/>
        <v>0</v>
      </c>
      <c r="J95" s="6">
        <f t="shared" si="38"/>
        <v>0</v>
      </c>
    </row>
    <row r="96" spans="1:10" x14ac:dyDescent="0.25">
      <c r="A96" s="4" t="s">
        <v>155</v>
      </c>
      <c r="C96" s="6">
        <f t="shared" si="38"/>
        <v>4512.3286851452876</v>
      </c>
      <c r="D96" s="6">
        <f t="shared" si="38"/>
        <v>0</v>
      </c>
      <c r="E96" s="6">
        <f t="shared" si="38"/>
        <v>1855.3039905979731</v>
      </c>
      <c r="F96" s="6">
        <f t="shared" si="38"/>
        <v>-53.276703668794873</v>
      </c>
      <c r="G96" s="6">
        <f t="shared" si="38"/>
        <v>0</v>
      </c>
      <c r="H96" s="6">
        <f t="shared" si="38"/>
        <v>0</v>
      </c>
      <c r="I96" s="6">
        <f t="shared" si="38"/>
        <v>0</v>
      </c>
      <c r="J96" s="6">
        <f t="shared" si="38"/>
        <v>0</v>
      </c>
    </row>
    <row r="97" spans="1:11" x14ac:dyDescent="0.25">
      <c r="A97" s="4" t="s">
        <v>156</v>
      </c>
      <c r="C97" s="6">
        <f t="shared" si="38"/>
        <v>4535.887288559481</v>
      </c>
      <c r="D97" s="6">
        <f t="shared" si="38"/>
        <v>0</v>
      </c>
      <c r="E97" s="6">
        <f t="shared" si="38"/>
        <v>1879.8328558429089</v>
      </c>
      <c r="F97" s="6">
        <f t="shared" si="38"/>
        <v>-53.981071843287424</v>
      </c>
      <c r="G97" s="6">
        <f t="shared" si="38"/>
        <v>0</v>
      </c>
      <c r="H97" s="6">
        <f t="shared" si="38"/>
        <v>0</v>
      </c>
      <c r="I97" s="6">
        <f t="shared" si="38"/>
        <v>0</v>
      </c>
      <c r="J97" s="6">
        <f t="shared" si="38"/>
        <v>0</v>
      </c>
    </row>
    <row r="99" spans="1:11" x14ac:dyDescent="0.25">
      <c r="A99" s="4" t="s">
        <v>157</v>
      </c>
      <c r="C99" s="6">
        <f t="shared" ref="C99:J99" si="39">C93/(((1+C16)*(1+C16+(C104-C16)*1/5)*(1+C16+(C104-C16)*2/5)*(1+C16+(C104-C16)*3/5)*(1+C16+(C104-C16)*4/5))*(1+C104)^1)</f>
        <v>3083.7315296484549</v>
      </c>
      <c r="D99" s="6">
        <f t="shared" si="39"/>
        <v>0</v>
      </c>
      <c r="E99" s="6">
        <f t="shared" si="39"/>
        <v>1220.1927661186255</v>
      </c>
      <c r="F99" s="6">
        <f t="shared" si="39"/>
        <v>-33.3025933258686</v>
      </c>
      <c r="G99" s="6">
        <f t="shared" si="39"/>
        <v>0</v>
      </c>
      <c r="H99" s="6">
        <f t="shared" si="39"/>
        <v>0</v>
      </c>
      <c r="I99" s="6">
        <f t="shared" si="39"/>
        <v>0</v>
      </c>
      <c r="J99" s="6">
        <f t="shared" si="39"/>
        <v>0</v>
      </c>
    </row>
    <row r="100" spans="1:11" x14ac:dyDescent="0.25">
      <c r="A100" s="4" t="s">
        <v>158</v>
      </c>
      <c r="C100" s="6">
        <f t="shared" ref="C100:J100" si="40">C94/(((1+C16)*(1+C16+(C104-C16)*1/5)*(1+C16+(C104-C16)*2/5)*(1+C16+(C104-C16)*3/5)*(1+C16+(C104-C16)*4/5))*(1+C104)^2)</f>
        <v>2890.3334563914841</v>
      </c>
      <c r="D100" s="6">
        <f t="shared" si="40"/>
        <v>0</v>
      </c>
      <c r="E100" s="6">
        <f t="shared" si="40"/>
        <v>1146.285717300286</v>
      </c>
      <c r="F100" s="6">
        <f t="shared" si="40"/>
        <v>-31.759794116401039</v>
      </c>
      <c r="G100" s="6">
        <f t="shared" si="40"/>
        <v>0</v>
      </c>
      <c r="H100" s="6">
        <f t="shared" si="40"/>
        <v>0</v>
      </c>
      <c r="I100" s="6">
        <f t="shared" si="40"/>
        <v>0</v>
      </c>
      <c r="J100" s="6">
        <f t="shared" si="40"/>
        <v>0</v>
      </c>
    </row>
    <row r="101" spans="1:11" x14ac:dyDescent="0.25">
      <c r="A101" s="4" t="s">
        <v>159</v>
      </c>
      <c r="C101" s="6">
        <f t="shared" ref="C101:J101" si="41">C95/(((1+C16)*(1+C16+(C104-C16)*1/5)*(1+C16+(C104-C16)*2/5)*(1+C16+(C104-C16)*3/5)*(1+C16+(C104-C16)*4/5))*(1+C104)^3)</f>
        <v>2710.263133106449</v>
      </c>
      <c r="D101" s="6">
        <f t="shared" si="41"/>
        <v>0</v>
      </c>
      <c r="E101" s="6">
        <f t="shared" si="41"/>
        <v>1078.1824342817317</v>
      </c>
      <c r="F101" s="6">
        <f t="shared" si="41"/>
        <v>-30.207210111380107</v>
      </c>
      <c r="G101" s="6">
        <f t="shared" si="41"/>
        <v>0</v>
      </c>
      <c r="H101" s="6">
        <f t="shared" si="41"/>
        <v>0</v>
      </c>
      <c r="I101" s="6">
        <f t="shared" si="41"/>
        <v>0</v>
      </c>
      <c r="J101" s="6">
        <f t="shared" si="41"/>
        <v>0</v>
      </c>
    </row>
    <row r="102" spans="1:11" x14ac:dyDescent="0.25">
      <c r="A102" s="4" t="s">
        <v>160</v>
      </c>
      <c r="C102" s="6">
        <f t="shared" ref="C102:J102" si="42">C96/(((1+C16)*(1+C16+(C104-C16)*1/5)*(1+C16+(C104-C16)*2/5)*(1+C16+(C104-C16)*3/5)*(1+C16+(C104-C16)*4/5))*(1+C104)^4)</f>
        <v>2542.5353450919019</v>
      </c>
      <c r="D102" s="6">
        <f t="shared" si="42"/>
        <v>0</v>
      </c>
      <c r="E102" s="6">
        <f t="shared" si="42"/>
        <v>1015.3736774448018</v>
      </c>
      <c r="F102" s="6">
        <f t="shared" si="42"/>
        <v>-28.653239195742174</v>
      </c>
      <c r="G102" s="6">
        <f t="shared" si="42"/>
        <v>0</v>
      </c>
      <c r="H102" s="6">
        <f t="shared" si="42"/>
        <v>0</v>
      </c>
      <c r="I102" s="6">
        <f t="shared" si="42"/>
        <v>0</v>
      </c>
      <c r="J102" s="6">
        <f t="shared" si="42"/>
        <v>0</v>
      </c>
    </row>
    <row r="103" spans="1:11" x14ac:dyDescent="0.25">
      <c r="A103" s="4" t="s">
        <v>161</v>
      </c>
      <c r="C103" s="6">
        <f t="shared" ref="C103:J103" si="43">C97/(((1+C16)*(1+C16+(C104-C16)*1/5)*(1+C16+(C104-C16)*2/5)*(1+C16+(C104-C16)*3/5)*(1+C16+(C104-C16)*4/5))*(1+C104)^5)</f>
        <v>2386.2420219979595</v>
      </c>
      <c r="D103" s="6">
        <f t="shared" si="43"/>
        <v>0</v>
      </c>
      <c r="E103" s="6">
        <f t="shared" si="43"/>
        <v>957.39944247450819</v>
      </c>
      <c r="F103" s="6">
        <f t="shared" si="43"/>
        <v>-27.105900853390754</v>
      </c>
      <c r="G103" s="6">
        <f t="shared" si="43"/>
        <v>0</v>
      </c>
      <c r="H103" s="6">
        <f t="shared" si="43"/>
        <v>0</v>
      </c>
      <c r="I103" s="6">
        <f t="shared" si="43"/>
        <v>0</v>
      </c>
      <c r="J103" s="6">
        <f t="shared" si="43"/>
        <v>0</v>
      </c>
    </row>
    <row r="104" spans="1:11" x14ac:dyDescent="0.25">
      <c r="A104" s="4" t="s">
        <v>162</v>
      </c>
      <c r="C104" s="11">
        <f>MAX((Inputs!B18+((1+(1-Inputs!B22)*(Inputs!B36/(1-Inputs!B36)))/(1+(1-Inputs!B22)*0.25))*Inputs!B19+IF(ISBLANK(C17),Inputs!B24,C17)+Inputs!B25+Inputs!B39)*(1-Inputs!B36)+Inputs!B38*Inputs!B36,C15)</f>
        <v>7.106058373214566E-2</v>
      </c>
      <c r="D104" s="11">
        <f>MAX((Inputs!B18+((1+(1-Inputs!B22)*(Inputs!B36/(1-Inputs!B36)))/(1+(1-Inputs!B22)*0.25))*Inputs!B19+IF(ISBLANK(D17),Inputs!B24,D17)+Inputs!B25+Inputs!B39)*(1-Inputs!B36)+Inputs!B38*Inputs!B36,D15)</f>
        <v>7.106058373214566E-2</v>
      </c>
      <c r="E104" s="11">
        <f>MAX((Inputs!B18+((1+(1-Inputs!B22)*(Inputs!B36/(1-Inputs!B36)))/(1+(1-Inputs!B22)*0.25))*Inputs!B19+IF(ISBLANK(E17),Inputs!B24,E17)+Inputs!B25+Inputs!B39)*(1-Inputs!B36)+Inputs!B38*Inputs!B36,E15)</f>
        <v>7.4575383732145673E-2</v>
      </c>
      <c r="F104" s="11">
        <f>MAX((Inputs!B18+((1+(1-Inputs!B22)*(Inputs!B36/(1-Inputs!B36)))/(1+(1-Inputs!B22)*0.25))*Inputs!B19+IF(ISBLANK(F17),Inputs!B24,F17)+Inputs!B25+Inputs!B39)*(1-Inputs!B36)+Inputs!B38*Inputs!B36,F15)</f>
        <v>7.106058373214566E-2</v>
      </c>
      <c r="G104" s="11">
        <f>MAX((Inputs!B18+((1+(1-Inputs!B22)*(Inputs!B36/(1-Inputs!B36)))/(1+(1-Inputs!B22)*0.25))*Inputs!B19+IF(ISBLANK(G17),Inputs!B24,G17)+Inputs!B25+Inputs!B39)*(1-Inputs!B36)+Inputs!B38*Inputs!B36,G15)</f>
        <v>7.106058373214566E-2</v>
      </c>
      <c r="H104" s="11">
        <f>MAX((Inputs!B18+((1+(1-Inputs!B22)*(Inputs!B36/(1-Inputs!B36)))/(1+(1-Inputs!B22)*0.25))*Inputs!B19+IF(ISBLANK(H17),Inputs!B24,H17)+Inputs!B25+Inputs!B39)*(1-Inputs!B36)+Inputs!B38*Inputs!B36,H15)</f>
        <v>7.106058373214566E-2</v>
      </c>
      <c r="I104" s="11">
        <f>MAX((Inputs!B18+((1+(1-Inputs!B22)*(Inputs!B36/(1-Inputs!B36)))/(1+(1-Inputs!B22)*0.25))*Inputs!B19+IF(ISBLANK(I17),Inputs!B24,I17)+Inputs!B25+Inputs!B39)*(1-Inputs!B36)+Inputs!B38*Inputs!B36,I15)</f>
        <v>7.106058373214566E-2</v>
      </c>
      <c r="J104" s="11">
        <f>MAX((Inputs!B18+((1+(1-Inputs!B22)*(Inputs!B36/(1-Inputs!B36)))/(1+(1-Inputs!B22)*0.25))*Inputs!B19+IF(ISBLANK(J17),Inputs!B24,J17)+Inputs!B25+Inputs!B39)*(1-Inputs!B36)+Inputs!B38*Inputs!B36,J15)</f>
        <v>7.106058373214566E-2</v>
      </c>
    </row>
    <row r="105" spans="1:11" x14ac:dyDescent="0.25">
      <c r="A105" s="4" t="s">
        <v>163</v>
      </c>
      <c r="C105" s="6">
        <f t="shared" ref="C105:J105" si="44">SUM(C57:C61,C99:C103)</f>
        <v>31255.468413830909</v>
      </c>
      <c r="D105" s="6">
        <f t="shared" si="44"/>
        <v>0</v>
      </c>
      <c r="E105" s="6">
        <f t="shared" si="44"/>
        <v>12385.660478893409</v>
      </c>
      <c r="F105" s="6">
        <f t="shared" si="44"/>
        <v>-459.96682429496093</v>
      </c>
      <c r="G105" s="6">
        <f t="shared" si="44"/>
        <v>0</v>
      </c>
      <c r="H105" s="6">
        <f t="shared" si="44"/>
        <v>0</v>
      </c>
      <c r="I105" s="6">
        <f t="shared" si="44"/>
        <v>0</v>
      </c>
      <c r="J105" s="6">
        <f t="shared" si="44"/>
        <v>0</v>
      </c>
    </row>
    <row r="106" spans="1:11" x14ac:dyDescent="0.25">
      <c r="A106" s="4" t="s">
        <v>164</v>
      </c>
      <c r="C106" s="6">
        <f t="shared" ref="C106:J106" si="45">IF(C5=0,0,C97*(1+C13)/(C104-C13))</f>
        <v>69252.637545503094</v>
      </c>
      <c r="D106" s="6">
        <f t="shared" si="45"/>
        <v>0</v>
      </c>
      <c r="E106" s="6">
        <f t="shared" si="45"/>
        <v>31043.978916694003</v>
      </c>
      <c r="F106" s="6">
        <f t="shared" si="45"/>
        <v>-945.62743085674288</v>
      </c>
      <c r="G106" s="6">
        <f t="shared" si="45"/>
        <v>0</v>
      </c>
      <c r="H106" s="6">
        <f t="shared" si="45"/>
        <v>0</v>
      </c>
      <c r="I106" s="6">
        <f t="shared" si="45"/>
        <v>0</v>
      </c>
      <c r="J106" s="6">
        <f t="shared" si="45"/>
        <v>0</v>
      </c>
    </row>
    <row r="107" spans="1:11" x14ac:dyDescent="0.25">
      <c r="A107" s="4" t="s">
        <v>165</v>
      </c>
      <c r="C107" s="6">
        <f t="shared" ref="C107:J107" si="46">C106/(((1+C16)*(1+C16+(C104-C16)*1/5)*(1+C16+(C104-C16)*2/5)*(1+C16+(C104-C16)*3/5)*(1+C16+(C104-C16)*4/5))*(1+C104)^5)</f>
        <v>36432.464770912498</v>
      </c>
      <c r="D107" s="6">
        <f t="shared" si="46"/>
        <v>0</v>
      </c>
      <c r="E107" s="6">
        <f t="shared" si="46"/>
        <v>15810.707858761325</v>
      </c>
      <c r="F107" s="6">
        <f t="shared" si="46"/>
        <v>-474.83465055051244</v>
      </c>
      <c r="G107" s="6">
        <f t="shared" si="46"/>
        <v>0</v>
      </c>
      <c r="H107" s="6">
        <f t="shared" si="46"/>
        <v>0</v>
      </c>
      <c r="I107" s="6">
        <f t="shared" si="46"/>
        <v>0</v>
      </c>
      <c r="J107" s="6">
        <f t="shared" si="46"/>
        <v>0</v>
      </c>
    </row>
    <row r="109" spans="1:11" x14ac:dyDescent="0.25">
      <c r="A109" s="19" t="s">
        <v>166</v>
      </c>
      <c r="C109" s="20">
        <f t="shared" ref="C109:J109" si="47">C105+C107</f>
        <v>67687.933184743408</v>
      </c>
      <c r="D109" s="20">
        <f t="shared" si="47"/>
        <v>0</v>
      </c>
      <c r="E109" s="20">
        <f t="shared" si="47"/>
        <v>28196.368337654734</v>
      </c>
      <c r="F109" s="20">
        <f t="shared" si="47"/>
        <v>-934.80147484547342</v>
      </c>
      <c r="G109" s="20">
        <f t="shared" si="47"/>
        <v>0</v>
      </c>
      <c r="H109" s="20">
        <f t="shared" si="47"/>
        <v>0</v>
      </c>
      <c r="I109" s="20">
        <f t="shared" si="47"/>
        <v>0</v>
      </c>
      <c r="J109" s="20">
        <f t="shared" si="47"/>
        <v>0</v>
      </c>
      <c r="K109" s="20">
        <f>SUM(C109:J109)</f>
        <v>94949.500047552661</v>
      </c>
    </row>
    <row r="110" spans="1:11" x14ac:dyDescent="0.25">
      <c r="A110" s="4" t="s">
        <v>167</v>
      </c>
      <c r="K110" s="11">
        <f>IFERROR(SUMPRODUCT(C109:J109,C16:J16)/SUM(C109:J109),0)</f>
        <v>5.6197096179715106E-2</v>
      </c>
    </row>
    <row r="111" spans="1:11" x14ac:dyDescent="0.25">
      <c r="A111" s="4" t="s">
        <v>168</v>
      </c>
      <c r="K111" s="5">
        <f>102334-SUM(B135:J135)</f>
        <v>32055.323499999999</v>
      </c>
    </row>
    <row r="112" spans="1:11" x14ac:dyDescent="0.25">
      <c r="A112" s="4" t="s">
        <v>169</v>
      </c>
      <c r="K112" s="5">
        <v>4490</v>
      </c>
    </row>
    <row r="113" spans="1:11" x14ac:dyDescent="0.25">
      <c r="A113" s="4" t="s">
        <v>170</v>
      </c>
      <c r="K113" s="5">
        <v>-28421.10569707047</v>
      </c>
    </row>
    <row r="114" spans="1:11" x14ac:dyDescent="0.25">
      <c r="A114" s="4" t="s">
        <v>171</v>
      </c>
      <c r="K114" s="5">
        <f>0+SUM(B134:J134)</f>
        <v>55866.344052423992</v>
      </c>
    </row>
    <row r="115" spans="1:11" x14ac:dyDescent="0.25">
      <c r="A115" s="4" t="s">
        <v>172</v>
      </c>
      <c r="K115" s="5">
        <v>0</v>
      </c>
    </row>
    <row r="116" spans="1:11" x14ac:dyDescent="0.25">
      <c r="A116" s="4" t="s">
        <v>173</v>
      </c>
      <c r="K116" s="5">
        <v>-92.5</v>
      </c>
    </row>
    <row r="117" spans="1:11" x14ac:dyDescent="0.25">
      <c r="A117" s="4" t="s">
        <v>174</v>
      </c>
      <c r="K117" s="5">
        <v>0</v>
      </c>
    </row>
    <row r="118" spans="1:11" x14ac:dyDescent="0.25">
      <c r="A118" s="4" t="s">
        <v>175</v>
      </c>
      <c r="K118" s="5">
        <v>0</v>
      </c>
    </row>
    <row r="119" spans="1:11" x14ac:dyDescent="0.25">
      <c r="A119" s="4" t="s">
        <v>176</v>
      </c>
      <c r="K119" s="20">
        <f>K109+K113+K114+K115+K116+K117+K118+K121-K111-K112</f>
        <v>84085.914902906195</v>
      </c>
    </row>
    <row r="120" spans="1:11" x14ac:dyDescent="0.25">
      <c r="A120" s="4" t="s">
        <v>177</v>
      </c>
      <c r="K120" s="6">
        <f>Inputs!B11</f>
        <v>4871</v>
      </c>
    </row>
    <row r="121" spans="1:11" x14ac:dyDescent="0.25">
      <c r="A121" s="4" t="s">
        <v>178</v>
      </c>
      <c r="K121" s="21">
        <f>-(Inputs!B41+Inputs!B42)</f>
        <v>-1671</v>
      </c>
    </row>
    <row r="122" spans="1:11" ht="15.75" customHeight="1" x14ac:dyDescent="0.25">
      <c r="A122" s="4" t="s">
        <v>179</v>
      </c>
      <c r="K122" s="22">
        <f>K119/K120</f>
        <v>17.26255694988836</v>
      </c>
    </row>
    <row r="124" spans="1:11" x14ac:dyDescent="0.25">
      <c r="A124" t="s">
        <v>180</v>
      </c>
    </row>
    <row r="125" spans="1:11" x14ac:dyDescent="0.25">
      <c r="A125" t="s">
        <v>181</v>
      </c>
      <c r="B125" t="s">
        <v>182</v>
      </c>
    </row>
    <row r="126" spans="1:11" x14ac:dyDescent="0.25">
      <c r="A126" t="s">
        <v>183</v>
      </c>
      <c r="B126" t="s">
        <v>184</v>
      </c>
    </row>
    <row r="127" spans="1:11" x14ac:dyDescent="0.25">
      <c r="A127" t="s">
        <v>185</v>
      </c>
      <c r="B127" t="s">
        <v>186</v>
      </c>
    </row>
    <row r="128" spans="1:11" x14ac:dyDescent="0.25">
      <c r="A128" t="s">
        <v>187</v>
      </c>
      <c r="B128">
        <v>0.86109999999999998</v>
      </c>
    </row>
    <row r="129" spans="1:2" x14ac:dyDescent="0.25">
      <c r="A129" t="s">
        <v>226</v>
      </c>
      <c r="B129">
        <v>214479.8</v>
      </c>
    </row>
    <row r="130" spans="1:2" x14ac:dyDescent="0.25">
      <c r="A130" t="s">
        <v>189</v>
      </c>
      <c r="B130">
        <v>81615</v>
      </c>
    </row>
    <row r="131" spans="1:2" x14ac:dyDescent="0.25">
      <c r="A131" t="s">
        <v>190</v>
      </c>
      <c r="B131">
        <f>B129-B130</f>
        <v>132864.79999999999</v>
      </c>
    </row>
    <row r="132" spans="1:2" x14ac:dyDescent="0.25">
      <c r="A132" t="s">
        <v>191</v>
      </c>
      <c r="B132">
        <v>0.51400000000000001</v>
      </c>
    </row>
    <row r="133" spans="1:2" x14ac:dyDescent="0.25">
      <c r="A133" t="s">
        <v>192</v>
      </c>
      <c r="B133">
        <f>B131*B132</f>
        <v>68292.507199999993</v>
      </c>
    </row>
    <row r="134" spans="1:2" x14ac:dyDescent="0.25">
      <c r="A134" t="s">
        <v>193</v>
      </c>
      <c r="B134">
        <f>B133*B128*(1+B143)</f>
        <v>55866.344052423992</v>
      </c>
    </row>
    <row r="135" spans="1:2" x14ac:dyDescent="0.25">
      <c r="A135" t="s">
        <v>194</v>
      </c>
      <c r="B135">
        <f>B130*B128</f>
        <v>70278.676500000001</v>
      </c>
    </row>
    <row r="136" spans="1:2" x14ac:dyDescent="0.25">
      <c r="A136" t="s">
        <v>195</v>
      </c>
    </row>
    <row r="137" spans="1:2" x14ac:dyDescent="0.25">
      <c r="A137" t="s">
        <v>196</v>
      </c>
      <c r="B137" t="s">
        <v>197</v>
      </c>
    </row>
    <row r="138" spans="1:2" x14ac:dyDescent="0.25">
      <c r="A138" t="s">
        <v>198</v>
      </c>
      <c r="B138" t="s">
        <v>199</v>
      </c>
    </row>
    <row r="139" spans="1:2" x14ac:dyDescent="0.25">
      <c r="A139" t="s">
        <v>200</v>
      </c>
      <c r="B139" t="s">
        <v>201</v>
      </c>
    </row>
    <row r="140" spans="1:2" x14ac:dyDescent="0.25">
      <c r="A140" t="s">
        <v>202</v>
      </c>
      <c r="B140" t="s">
        <v>203</v>
      </c>
    </row>
    <row r="141" spans="1:2" x14ac:dyDescent="0.25">
      <c r="A141" t="s">
        <v>227</v>
      </c>
      <c r="B141" t="s">
        <v>228</v>
      </c>
    </row>
    <row r="142" spans="1:2" x14ac:dyDescent="0.25">
      <c r="A142" t="s">
        <v>206</v>
      </c>
      <c r="B142">
        <f>ABS(B134)*0.1/Inputs!B11</f>
        <v>1.1469173486434816</v>
      </c>
    </row>
    <row r="143" spans="1:2" x14ac:dyDescent="0.25">
      <c r="A143" t="s">
        <v>229</v>
      </c>
      <c r="B143">
        <v>-0.05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2"/>
  <sheetViews>
    <sheetView workbookViewId="0"/>
  </sheetViews>
  <sheetFormatPr baseColWidth="10" defaultColWidth="9.140625" defaultRowHeight="15" x14ac:dyDescent="0.25"/>
  <cols>
    <col min="1" max="1" width="28" customWidth="1"/>
    <col min="2" max="2" width="16" customWidth="1"/>
    <col min="3" max="3" width="14" customWidth="1"/>
    <col min="4" max="4" width="16" customWidth="1"/>
    <col min="5" max="5" width="50" customWidth="1"/>
  </cols>
  <sheetData>
    <row r="1" spans="1:5" ht="18.75" customHeight="1" x14ac:dyDescent="0.3">
      <c r="A1" s="1" t="s">
        <v>230</v>
      </c>
    </row>
    <row r="2" spans="1:5" x14ac:dyDescent="0.25">
      <c r="A2" s="2" t="s">
        <v>231</v>
      </c>
    </row>
    <row r="3" spans="1:5" x14ac:dyDescent="0.25">
      <c r="A3" s="2" t="s">
        <v>232</v>
      </c>
    </row>
    <row r="4" spans="1:5" x14ac:dyDescent="0.25">
      <c r="A4" s="23" t="s">
        <v>233</v>
      </c>
      <c r="B4" s="23" t="s">
        <v>234</v>
      </c>
      <c r="C4" s="23" t="s">
        <v>235</v>
      </c>
      <c r="D4" s="23" t="s">
        <v>236</v>
      </c>
      <c r="E4" s="23" t="s">
        <v>237</v>
      </c>
    </row>
    <row r="5" spans="1:5" ht="30" customHeight="1" x14ac:dyDescent="0.25">
      <c r="A5" s="24" t="s">
        <v>238</v>
      </c>
      <c r="B5" s="5">
        <v>-150</v>
      </c>
      <c r="C5" s="7">
        <v>0.2</v>
      </c>
      <c r="D5" s="6">
        <f>IF(ISNUMBER(B5),B5*C5,"")</f>
        <v>-30</v>
      </c>
      <c r="E5" s="25" t="s">
        <v>239</v>
      </c>
    </row>
    <row r="6" spans="1:5" ht="30" customHeight="1" x14ac:dyDescent="0.25">
      <c r="A6" s="24" t="s">
        <v>240</v>
      </c>
      <c r="B6" s="5">
        <v>-250</v>
      </c>
      <c r="C6" s="7">
        <v>0.25</v>
      </c>
      <c r="D6" s="6">
        <f>IF(ISNUMBER(B6),B6*C6,"")</f>
        <v>-62.5</v>
      </c>
      <c r="E6" s="25" t="s">
        <v>241</v>
      </c>
    </row>
    <row r="7" spans="1:5" ht="30" customHeight="1" x14ac:dyDescent="0.25">
      <c r="A7" s="24"/>
      <c r="B7" s="5"/>
      <c r="C7" s="7"/>
      <c r="D7" s="6" t="str">
        <f>IF(ISNUMBER(B7),B7*C7,"")</f>
        <v/>
      </c>
      <c r="E7" s="25"/>
    </row>
    <row r="8" spans="1:5" ht="30" customHeight="1" x14ac:dyDescent="0.25">
      <c r="A8" s="24"/>
      <c r="B8" s="5"/>
      <c r="C8" s="7"/>
      <c r="D8" s="6" t="str">
        <f>IF(ISNUMBER(B8),B8*C8,"")</f>
        <v/>
      </c>
      <c r="E8" s="25"/>
    </row>
    <row r="9" spans="1:5" ht="30" customHeight="1" x14ac:dyDescent="0.25">
      <c r="A9" s="24"/>
      <c r="B9" s="5"/>
      <c r="C9" s="7"/>
      <c r="D9" s="6" t="str">
        <f>IF(ISNUMBER(B9),B9*C9,"")</f>
        <v/>
      </c>
      <c r="E9" s="25"/>
    </row>
    <row r="11" spans="1:5" x14ac:dyDescent="0.25">
      <c r="C11" s="4" t="s">
        <v>242</v>
      </c>
      <c r="D11" s="20">
        <f>SUM(D5:D9)</f>
        <v>-92.5</v>
      </c>
    </row>
    <row r="12" spans="1:5" x14ac:dyDescent="0.25">
      <c r="C12" s="4" t="s">
        <v>243</v>
      </c>
      <c r="D12" s="20">
        <f>IF(Inputs!B11&gt;0,D11/Inputs!B11,"")</f>
        <v>-1.8989940463970439E-2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22"/>
  <sheetViews>
    <sheetView workbookViewId="0"/>
  </sheetViews>
  <sheetFormatPr baseColWidth="10" defaultColWidth="9.140625" defaultRowHeight="15" x14ac:dyDescent="0.25"/>
  <cols>
    <col min="1" max="1" width="30" customWidth="1"/>
    <col min="2" max="10" width="10" customWidth="1"/>
    <col min="11" max="11" width="8" customWidth="1"/>
    <col min="12" max="12" width="10" customWidth="1"/>
  </cols>
  <sheetData>
    <row r="1" spans="1:12" ht="18.75" customHeight="1" x14ac:dyDescent="0.3">
      <c r="A1" s="1" t="s">
        <v>244</v>
      </c>
    </row>
    <row r="2" spans="1:12" x14ac:dyDescent="0.25">
      <c r="A2" s="2" t="s">
        <v>245</v>
      </c>
    </row>
    <row r="4" spans="1:12" x14ac:dyDescent="0.25">
      <c r="A4" s="3" t="s">
        <v>246</v>
      </c>
    </row>
    <row r="5" spans="1:12" ht="30" customHeight="1" x14ac:dyDescent="0.25">
      <c r="A5" s="26" t="s">
        <v>247</v>
      </c>
      <c r="B5" s="26" t="s">
        <v>248</v>
      </c>
      <c r="C5" s="26" t="s">
        <v>249</v>
      </c>
      <c r="D5" s="26" t="s">
        <v>250</v>
      </c>
      <c r="E5" s="26" t="s">
        <v>251</v>
      </c>
      <c r="F5" s="26" t="s">
        <v>252</v>
      </c>
      <c r="G5" s="26" t="s">
        <v>253</v>
      </c>
      <c r="H5" s="26" t="s">
        <v>254</v>
      </c>
      <c r="I5" s="26" t="s">
        <v>255</v>
      </c>
      <c r="J5" s="26" t="s">
        <v>256</v>
      </c>
      <c r="K5" s="26" t="s">
        <v>257</v>
      </c>
      <c r="L5" s="26" t="s">
        <v>258</v>
      </c>
    </row>
    <row r="6" spans="1:12" x14ac:dyDescent="0.25">
      <c r="A6" s="37" t="s">
        <v>57</v>
      </c>
      <c r="B6" s="38">
        <v>2.3E-2</v>
      </c>
      <c r="C6" s="38">
        <v>1.2999999999999999E-2</v>
      </c>
      <c r="D6" s="38">
        <v>2.9999999999999992E-3</v>
      </c>
      <c r="E6" s="38">
        <v>0.26807748973503132</v>
      </c>
      <c r="F6" s="38">
        <v>0.25</v>
      </c>
      <c r="G6" s="38">
        <v>0.22740313783121091</v>
      </c>
      <c r="H6" s="38">
        <v>1.6519372433757829E-2</v>
      </c>
      <c r="I6" s="38">
        <v>1.2E-2</v>
      </c>
      <c r="J6" s="38">
        <v>5.2209413493632629E-3</v>
      </c>
      <c r="K6" s="39">
        <v>0.78</v>
      </c>
      <c r="L6" s="39">
        <v>2</v>
      </c>
    </row>
    <row r="7" spans="1:12" x14ac:dyDescent="0.25">
      <c r="A7" s="37" t="s">
        <v>259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2" x14ac:dyDescent="0.25">
      <c r="A8" s="37" t="s">
        <v>59</v>
      </c>
      <c r="B8" s="38">
        <v>3.4000000000000002E-2</v>
      </c>
      <c r="C8" s="38">
        <v>2.1999999999999999E-2</v>
      </c>
      <c r="D8" s="38">
        <v>6.9999999999999993E-3</v>
      </c>
      <c r="E8" s="38">
        <v>0.23307748973503131</v>
      </c>
      <c r="F8" s="38">
        <v>0.215</v>
      </c>
      <c r="G8" s="38">
        <v>0.19240313783121091</v>
      </c>
      <c r="H8" s="38">
        <v>2.4519372433757829E-2</v>
      </c>
      <c r="I8" s="38">
        <v>0.02</v>
      </c>
      <c r="J8" s="38">
        <v>1.322094134936326E-2</v>
      </c>
      <c r="K8" s="39">
        <v>0.78</v>
      </c>
      <c r="L8" s="39">
        <v>2</v>
      </c>
    </row>
    <row r="9" spans="1:12" x14ac:dyDescent="0.25">
      <c r="A9" s="37" t="s">
        <v>60</v>
      </c>
      <c r="B9" s="38">
        <v>6.30774897350313E-2</v>
      </c>
      <c r="C9" s="38">
        <v>4.4999999999999998E-2</v>
      </c>
      <c r="D9" s="38">
        <v>2.69225102649687E-2</v>
      </c>
      <c r="E9" s="38">
        <v>5.9154979470062603E-2</v>
      </c>
      <c r="F9" s="38">
        <v>2.3E-2</v>
      </c>
      <c r="G9" s="38">
        <v>-1.767435190382043E-2</v>
      </c>
      <c r="H9" s="38">
        <v>2.4519372433757829E-2</v>
      </c>
      <c r="I9" s="38">
        <v>0.02</v>
      </c>
      <c r="J9" s="38">
        <v>1.322094134936326E-2</v>
      </c>
      <c r="K9" s="39">
        <v>1.55</v>
      </c>
      <c r="L9" s="39">
        <v>4</v>
      </c>
    </row>
    <row r="10" spans="1:12" x14ac:dyDescent="0.25">
      <c r="A10" s="27"/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</row>
    <row r="11" spans="1:12" x14ac:dyDescent="0.25">
      <c r="A11" s="27"/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</row>
    <row r="12" spans="1:12" x14ac:dyDescent="0.25">
      <c r="A12" s="27"/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</row>
    <row r="13" spans="1:12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</row>
    <row r="15" spans="1:12" x14ac:dyDescent="0.25">
      <c r="A15" s="3" t="s">
        <v>260</v>
      </c>
    </row>
    <row r="16" spans="1:12" x14ac:dyDescent="0.25">
      <c r="A16" s="23" t="s">
        <v>261</v>
      </c>
      <c r="B16" s="23" t="s">
        <v>262</v>
      </c>
      <c r="C16" s="23" t="s">
        <v>263</v>
      </c>
      <c r="D16" s="23" t="s">
        <v>264</v>
      </c>
      <c r="E16" s="23" t="s">
        <v>265</v>
      </c>
    </row>
    <row r="17" spans="1:5" x14ac:dyDescent="0.25">
      <c r="A17" s="4" t="s">
        <v>266</v>
      </c>
      <c r="B17" s="6">
        <f>'DCF Bull'!K122</f>
        <v>45.363260253635808</v>
      </c>
      <c r="C17" s="40">
        <v>0.25</v>
      </c>
      <c r="D17" s="28" t="s">
        <v>267</v>
      </c>
      <c r="E17" s="6">
        <f>MAX(B17,0)</f>
        <v>45.363260253635808</v>
      </c>
    </row>
    <row r="18" spans="1:5" x14ac:dyDescent="0.25">
      <c r="A18" s="4" t="s">
        <v>268</v>
      </c>
      <c r="B18" s="6">
        <f>'DCF Base'!K122</f>
        <v>30.897546589288844</v>
      </c>
      <c r="C18" s="40">
        <v>0.6</v>
      </c>
      <c r="D18" s="28" t="s">
        <v>269</v>
      </c>
      <c r="E18" s="6">
        <f>MAX(B18,0)</f>
        <v>30.897546589288844</v>
      </c>
    </row>
    <row r="19" spans="1:5" x14ac:dyDescent="0.25">
      <c r="A19" s="4" t="s">
        <v>270</v>
      </c>
      <c r="B19" s="6">
        <f>'DCF Bear'!K122</f>
        <v>17.26255694988836</v>
      </c>
      <c r="C19" s="40">
        <v>0.15</v>
      </c>
      <c r="D19" s="28" t="s">
        <v>271</v>
      </c>
      <c r="E19" s="6">
        <f>MAX(B19,0)</f>
        <v>17.26255694988836</v>
      </c>
    </row>
    <row r="20" spans="1:5" x14ac:dyDescent="0.25">
      <c r="A20" s="2" t="s">
        <v>272</v>
      </c>
    </row>
    <row r="21" spans="1:5" ht="15.75" customHeight="1" x14ac:dyDescent="0.25">
      <c r="A21" s="19" t="s">
        <v>273</v>
      </c>
      <c r="B21" s="22">
        <f>MAX(0,B17*C17+B18*C18+B19*C19)</f>
        <v>32.468726559465509</v>
      </c>
      <c r="D21" s="2" t="s">
        <v>274</v>
      </c>
      <c r="E21" s="6">
        <f>B17*C17+B18*C18+B19*C19</f>
        <v>32.468726559465509</v>
      </c>
    </row>
    <row r="22" spans="1:5" x14ac:dyDescent="0.25">
      <c r="A22" s="2" t="s">
        <v>275</v>
      </c>
      <c r="B22" s="41" t="s">
        <v>276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105"/>
  <sheetViews>
    <sheetView workbookViewId="0"/>
  </sheetViews>
  <sheetFormatPr baseColWidth="10" defaultColWidth="9.140625" defaultRowHeight="15" x14ac:dyDescent="0.25"/>
  <cols>
    <col min="1" max="1" width="34" customWidth="1"/>
    <col min="2" max="5" width="14" customWidth="1"/>
  </cols>
  <sheetData>
    <row r="1" spans="1:5" ht="17.25" customHeight="1" x14ac:dyDescent="0.3">
      <c r="A1" s="29" t="s">
        <v>277</v>
      </c>
    </row>
    <row r="2" spans="1:5" x14ac:dyDescent="0.25">
      <c r="A2" s="2" t="s">
        <v>278</v>
      </c>
    </row>
    <row r="4" spans="1:5" x14ac:dyDescent="0.25">
      <c r="A4" s="4" t="s">
        <v>279</v>
      </c>
      <c r="B4" s="42">
        <v>28.57</v>
      </c>
    </row>
    <row r="5" spans="1:5" x14ac:dyDescent="0.25">
      <c r="A5" s="4" t="s">
        <v>280</v>
      </c>
      <c r="B5" s="42">
        <v>32.47</v>
      </c>
    </row>
    <row r="6" spans="1:5" x14ac:dyDescent="0.25">
      <c r="A6" s="4" t="s">
        <v>281</v>
      </c>
      <c r="B6" s="30">
        <f>(B5-B4)/B4</f>
        <v>0.13650682534126701</v>
      </c>
    </row>
    <row r="7" spans="1:5" x14ac:dyDescent="0.25">
      <c r="A7" s="4" t="s">
        <v>282</v>
      </c>
      <c r="B7" s="43" t="s">
        <v>283</v>
      </c>
    </row>
    <row r="8" spans="1:5" x14ac:dyDescent="0.25">
      <c r="A8" t="s">
        <v>284</v>
      </c>
      <c r="C8" s="43" t="s">
        <v>285</v>
      </c>
      <c r="D8" s="43" t="s">
        <v>285</v>
      </c>
      <c r="E8" s="43" t="s">
        <v>285</v>
      </c>
    </row>
    <row r="9" spans="1:5" x14ac:dyDescent="0.25">
      <c r="B9" s="32" t="s">
        <v>268</v>
      </c>
      <c r="C9" s="32" t="s">
        <v>286</v>
      </c>
      <c r="D9" s="32" t="s">
        <v>287</v>
      </c>
      <c r="E9" s="32" t="s">
        <v>288</v>
      </c>
    </row>
    <row r="10" spans="1:5" x14ac:dyDescent="0.25">
      <c r="A10" t="s">
        <v>289</v>
      </c>
      <c r="B10" s="44">
        <v>120462</v>
      </c>
      <c r="C10" s="6">
        <f>B10</f>
        <v>120462</v>
      </c>
      <c r="D10" s="6">
        <f>B10</f>
        <v>120462</v>
      </c>
      <c r="E10" s="6">
        <f t="shared" ref="E10:E15" si="0">B10</f>
        <v>120462</v>
      </c>
    </row>
    <row r="11" spans="1:5" x14ac:dyDescent="0.25">
      <c r="A11" t="s">
        <v>290</v>
      </c>
      <c r="B11" s="45">
        <v>3.2215474589497098E-2</v>
      </c>
      <c r="C11" s="46">
        <v>2.6708984375000001E-2</v>
      </c>
      <c r="D11" s="11">
        <f>B11</f>
        <v>3.2215474589497098E-2</v>
      </c>
      <c r="E11" s="11">
        <f t="shared" si="0"/>
        <v>3.2215474589497098E-2</v>
      </c>
    </row>
    <row r="12" spans="1:5" x14ac:dyDescent="0.25">
      <c r="A12" t="s">
        <v>291</v>
      </c>
      <c r="B12" s="45">
        <v>0.2230327489166708</v>
      </c>
      <c r="C12" s="11">
        <f t="shared" ref="C12:C20" si="1">B12</f>
        <v>0.2230327489166708</v>
      </c>
      <c r="D12" s="11">
        <f>B12</f>
        <v>0.2230327489166708</v>
      </c>
      <c r="E12" s="11">
        <f t="shared" si="0"/>
        <v>0.2230327489166708</v>
      </c>
    </row>
    <row r="13" spans="1:5" x14ac:dyDescent="0.25">
      <c r="A13" t="s">
        <v>292</v>
      </c>
      <c r="B13" s="45">
        <v>0.23473614085769789</v>
      </c>
      <c r="C13" s="11">
        <f t="shared" si="1"/>
        <v>0.23473614085769789</v>
      </c>
      <c r="D13" s="46">
        <v>0.2273406982421875</v>
      </c>
      <c r="E13" s="11">
        <f t="shared" si="0"/>
        <v>0.23473614085769789</v>
      </c>
    </row>
    <row r="14" spans="1:5" x14ac:dyDescent="0.25">
      <c r="A14" t="s">
        <v>293</v>
      </c>
      <c r="B14" s="45">
        <v>2.1837965499493621E-2</v>
      </c>
      <c r="C14" s="11">
        <f t="shared" si="1"/>
        <v>2.1837965499493621E-2</v>
      </c>
      <c r="D14" s="11">
        <f t="shared" ref="D14:D20" si="2">B14</f>
        <v>2.1837965499493621E-2</v>
      </c>
      <c r="E14" s="11">
        <f t="shared" si="0"/>
        <v>2.1837965499493621E-2</v>
      </c>
    </row>
    <row r="15" spans="1:5" x14ac:dyDescent="0.25">
      <c r="A15" t="s">
        <v>76</v>
      </c>
      <c r="B15" s="45">
        <v>2.1540776344407368E-2</v>
      </c>
      <c r="C15" s="11">
        <f t="shared" si="1"/>
        <v>2.1540776344407368E-2</v>
      </c>
      <c r="D15" s="11">
        <f t="shared" si="2"/>
        <v>2.1540776344407368E-2</v>
      </c>
      <c r="E15" s="11">
        <f t="shared" si="0"/>
        <v>2.1540776344407368E-2</v>
      </c>
    </row>
    <row r="16" spans="1:5" x14ac:dyDescent="0.25">
      <c r="A16" t="s">
        <v>294</v>
      </c>
      <c r="B16" s="45">
        <v>5.6639568562155213E-2</v>
      </c>
      <c r="C16" s="11">
        <f t="shared" si="1"/>
        <v>5.6639568562155213E-2</v>
      </c>
      <c r="D16" s="11">
        <f t="shared" si="2"/>
        <v>5.6639568562155213E-2</v>
      </c>
      <c r="E16" s="46">
        <v>5.7842102050781247E-2</v>
      </c>
    </row>
    <row r="17" spans="1:5" x14ac:dyDescent="0.25">
      <c r="A17" t="s">
        <v>295</v>
      </c>
      <c r="B17" s="45">
        <v>0.25700000000000001</v>
      </c>
      <c r="C17" s="11">
        <f t="shared" si="1"/>
        <v>0.25700000000000001</v>
      </c>
      <c r="D17" s="11">
        <f t="shared" si="2"/>
        <v>0.25700000000000001</v>
      </c>
      <c r="E17" s="11">
        <f>B17</f>
        <v>0.25700000000000001</v>
      </c>
    </row>
    <row r="18" spans="1:5" x14ac:dyDescent="0.25">
      <c r="A18" t="s">
        <v>296</v>
      </c>
      <c r="B18" s="44">
        <v>-445915.5</v>
      </c>
      <c r="C18" s="6">
        <f t="shared" si="1"/>
        <v>-445915.5</v>
      </c>
      <c r="D18" s="6">
        <f t="shared" si="2"/>
        <v>-445915.5</v>
      </c>
      <c r="E18" s="6">
        <f>B18</f>
        <v>-445915.5</v>
      </c>
    </row>
    <row r="19" spans="1:5" x14ac:dyDescent="0.25">
      <c r="A19" t="s">
        <v>297</v>
      </c>
      <c r="B19" s="44">
        <v>35285.699999999997</v>
      </c>
      <c r="C19" s="6">
        <f t="shared" si="1"/>
        <v>35285.699999999997</v>
      </c>
      <c r="D19" s="6">
        <f t="shared" si="2"/>
        <v>35285.699999999997</v>
      </c>
      <c r="E19" s="6">
        <f>B19</f>
        <v>35285.699999999997</v>
      </c>
    </row>
    <row r="20" spans="1:5" x14ac:dyDescent="0.25">
      <c r="A20" t="s">
        <v>298</v>
      </c>
      <c r="B20" s="42">
        <v>4871</v>
      </c>
      <c r="C20" s="6">
        <f t="shared" si="1"/>
        <v>4871</v>
      </c>
      <c r="D20" s="6">
        <f t="shared" si="2"/>
        <v>4871</v>
      </c>
      <c r="E20" s="6">
        <f>B20</f>
        <v>4871</v>
      </c>
    </row>
    <row r="22" spans="1:5" x14ac:dyDescent="0.25">
      <c r="A22" t="s">
        <v>299</v>
      </c>
      <c r="B22" s="6">
        <f>B10*(1+B11)^1</f>
        <v>124342.7405</v>
      </c>
      <c r="C22" s="6">
        <f>C10*(1+C11)^1</f>
        <v>123679.41767578124</v>
      </c>
      <c r="D22" s="6">
        <f>D10*(1+D11)^1</f>
        <v>124342.7405</v>
      </c>
      <c r="E22" s="6">
        <f>E10*(1+E11)^1</f>
        <v>124342.7405</v>
      </c>
    </row>
    <row r="23" spans="1:5" x14ac:dyDescent="0.25">
      <c r="A23" t="s">
        <v>300</v>
      </c>
      <c r="B23" s="6">
        <f>B10*(1+B11)^2</f>
        <v>128348.5008969662</v>
      </c>
      <c r="C23" s="6">
        <f>C10*(1+C11)^2</f>
        <v>126982.76930999277</v>
      </c>
      <c r="D23" s="6">
        <f>D10*(1+D11)^2</f>
        <v>128348.5008969662</v>
      </c>
      <c r="E23" s="6">
        <f>E10*(1+E11)^2</f>
        <v>128348.5008969662</v>
      </c>
    </row>
    <row r="24" spans="1:5" x14ac:dyDescent="0.25">
      <c r="A24" t="s">
        <v>301</v>
      </c>
      <c r="B24" s="6">
        <f>B10*(1+B11)^3</f>
        <v>132483.30876621246</v>
      </c>
      <c r="C24" s="6">
        <f>C10*(1+C11)^3</f>
        <v>130374.35011138757</v>
      </c>
      <c r="D24" s="6">
        <f>D10*(1+D11)^3</f>
        <v>132483.30876621246</v>
      </c>
      <c r="E24" s="6">
        <f>E10*(1+E11)^3</f>
        <v>132483.30876621246</v>
      </c>
    </row>
    <row r="25" spans="1:5" x14ac:dyDescent="0.25">
      <c r="A25" t="s">
        <v>302</v>
      </c>
      <c r="B25" s="6">
        <f>B10*(1+B11)^4</f>
        <v>136751.32143330292</v>
      </c>
      <c r="C25" s="6">
        <f>C10*(1+C11)^4</f>
        <v>133856.51659141338</v>
      </c>
      <c r="D25" s="6">
        <f>D10*(1+D11)^4</f>
        <v>136751.32143330292</v>
      </c>
      <c r="E25" s="6">
        <f>E10*(1+E11)^4</f>
        <v>136751.32143330292</v>
      </c>
    </row>
    <row r="26" spans="1:5" x14ac:dyDescent="0.25">
      <c r="A26" t="s">
        <v>303</v>
      </c>
      <c r="B26" s="6">
        <f>B10*(1+B11)^5</f>
        <v>141156.8301540176</v>
      </c>
      <c r="C26" s="6">
        <f>C10*(1+C11)^5</f>
        <v>137431.68820154536</v>
      </c>
      <c r="D26" s="6">
        <f>D10*(1+D11)^5</f>
        <v>141156.8301540176</v>
      </c>
      <c r="E26" s="6">
        <f>E10*(1+E11)^5</f>
        <v>141156.8301540176</v>
      </c>
    </row>
    <row r="27" spans="1:5" x14ac:dyDescent="0.25">
      <c r="A27" t="s">
        <v>304</v>
      </c>
      <c r="B27" s="6">
        <f>B26*(1+(B11+(B15-B11)*1/5))</f>
        <v>145402.90311555282</v>
      </c>
      <c r="C27" s="6">
        <f>C26*(1+(C11+(C15-C11)*1/5))</f>
        <v>140960.29390342606</v>
      </c>
      <c r="D27" s="6">
        <f>D26*(1+(D11+(D15-D11)*1/5))</f>
        <v>145402.90311555282</v>
      </c>
      <c r="E27" s="6">
        <f>E26*(1+(E11+(E15-E11)*1/5))</f>
        <v>145402.90311555282</v>
      </c>
    </row>
    <row r="28" spans="1:5" x14ac:dyDescent="0.25">
      <c r="A28" t="s">
        <v>305</v>
      </c>
      <c r="B28" s="6">
        <f>B27*(1+(B11+(B15-B11)*2/5))</f>
        <v>149466.2738002236</v>
      </c>
      <c r="C28" s="6">
        <f>C27*(1+(C11+(C15-C11)*2/5))</f>
        <v>144433.79534160951</v>
      </c>
      <c r="D28" s="6">
        <f>D27*(1+(D11+(D15-D11)*2/5))</f>
        <v>149466.2738002236</v>
      </c>
      <c r="E28" s="6">
        <f>E27*(1+(E11+(E15-E11)*2/5))</f>
        <v>149466.2738002236</v>
      </c>
    </row>
    <row r="29" spans="1:5" x14ac:dyDescent="0.25">
      <c r="A29" t="s">
        <v>306</v>
      </c>
      <c r="B29" s="6">
        <f>B28*(1+(B11+(B15-B11)*3/5))</f>
        <v>153324.09632344032</v>
      </c>
      <c r="C29" s="6">
        <f>C28*(1+(C11+(C15-C11)*3/5))</f>
        <v>147843.5969840264</v>
      </c>
      <c r="D29" s="6">
        <f>D28*(1+(D11+(D15-D11)*3/5))</f>
        <v>153324.09632344032</v>
      </c>
      <c r="E29" s="6">
        <f>E28*(1+(E11+(E15-E11)*3/5))</f>
        <v>153324.09632344032</v>
      </c>
    </row>
    <row r="30" spans="1:5" x14ac:dyDescent="0.25">
      <c r="A30" t="s">
        <v>307</v>
      </c>
      <c r="B30" s="6">
        <f>B29*(1+(B11+(B15-B11)*4/5))</f>
        <v>156954.15408294267</v>
      </c>
      <c r="C30" s="6">
        <f>C29*(1+(C11+(C15-C11)*4/5))</f>
        <v>151181.08013365293</v>
      </c>
      <c r="D30" s="6">
        <f>D29*(1+(D11+(D15-D11)*4/5))</f>
        <v>156954.15408294267</v>
      </c>
      <c r="E30" s="6">
        <f>E29*(1+(E11+(E15-E11)*4/5))</f>
        <v>156954.15408294267</v>
      </c>
    </row>
    <row r="31" spans="1:5" x14ac:dyDescent="0.25">
      <c r="A31" t="s">
        <v>308</v>
      </c>
      <c r="B31" s="6">
        <f>B30*(1+(B11+(B15-B11)*5/5))</f>
        <v>160335.06841236897</v>
      </c>
      <c r="C31" s="6">
        <f>C30*(1+(C11+(C15-C11)*5/5))</f>
        <v>154437.63796831787</v>
      </c>
      <c r="D31" s="6">
        <f>D30*(1+(D11+(D15-D11)*5/5))</f>
        <v>160335.06841236897</v>
      </c>
      <c r="E31" s="6">
        <f>E30*(1+(E11+(E15-E11)*5/5))</f>
        <v>160335.06841236897</v>
      </c>
    </row>
    <row r="33" spans="1:5" x14ac:dyDescent="0.25">
      <c r="A33" t="s">
        <v>309</v>
      </c>
      <c r="B33" s="6">
        <f>B22*(B12+(B13-B12)*0/4)*(1-B17)-B22*B14</f>
        <v>17889.857416458122</v>
      </c>
      <c r="C33" s="6">
        <f>C22*(C12+(C13-C12)*0/4)*(1-C17)-C22*C14</f>
        <v>17794.421601720263</v>
      </c>
      <c r="D33" s="6">
        <f>D22*(D12+(D13-D12)*0/4)*(1-D17)-D22*D14</f>
        <v>17889.857416458122</v>
      </c>
      <c r="E33" s="6">
        <f>E22*(E12+(E13-E12)*0/4)*(1-E17)-E22*E14</f>
        <v>17889.857416458122</v>
      </c>
    </row>
    <row r="34" spans="1:5" x14ac:dyDescent="0.25">
      <c r="A34" t="s">
        <v>310</v>
      </c>
      <c r="B34" s="6">
        <f>B23*(B12+(B13-B12)*1/4)*(1-B17)-B23*B14</f>
        <v>18745.205118118523</v>
      </c>
      <c r="C34" s="6">
        <f>C23*(C12+(C13-C12)*1/4)*(1-C17)-C23*C14</f>
        <v>18545.741014095507</v>
      </c>
      <c r="D34" s="6">
        <f>D23*(D12+(D13-D12)*1/4)*(1-D17)-D23*D14</f>
        <v>18568.892337602141</v>
      </c>
      <c r="E34" s="6">
        <f>E23*(E12+(E13-E12)*1/4)*(1-E17)-E23*E14</f>
        <v>18745.205118118523</v>
      </c>
    </row>
    <row r="35" spans="1:5" x14ac:dyDescent="0.25">
      <c r="A35" t="s">
        <v>311</v>
      </c>
      <c r="B35" s="6">
        <f>B24*(B12+(B13-B12)*2/4)*(1-B17)-B24*B14</f>
        <v>19637.096931647273</v>
      </c>
      <c r="C35" s="6">
        <f>C24*(C12+(C13-C12)*2/4)*(1-C17)-C24*C14</f>
        <v>19324.500379558482</v>
      </c>
      <c r="D35" s="6">
        <f>D24*(D12+(D13-D12)*2/4)*(1-D17)-D24*D14</f>
        <v>19273.111370813451</v>
      </c>
      <c r="E35" s="6">
        <f>E24*(E12+(E13-E12)*2/4)*(1-E17)-E24*E14</f>
        <v>19637.096931647273</v>
      </c>
    </row>
    <row r="36" spans="1:5" x14ac:dyDescent="0.25">
      <c r="A36" t="s">
        <v>312</v>
      </c>
      <c r="B36" s="6">
        <f>B25*(B12+(B13-B12)*3/4)*(1-B17)-B25*B14</f>
        <v>20566.9997175348</v>
      </c>
      <c r="C36" s="6">
        <f>C25*(C12+(C13-C12)*3/4)*(1-C17)-C25*C14</f>
        <v>20131.629516051973</v>
      </c>
      <c r="D36" s="6">
        <f>D25*(D12+(D13-D12)*3/4)*(1-D17)-D25*D14</f>
        <v>20003.432424905088</v>
      </c>
      <c r="E36" s="6">
        <f>E25*(E12+(E13-E12)*3/4)*(1-E17)-E25*E14</f>
        <v>20566.9997175348</v>
      </c>
    </row>
    <row r="37" spans="1:5" x14ac:dyDescent="0.25">
      <c r="A37" t="s">
        <v>313</v>
      </c>
      <c r="B37" s="6">
        <f>B26*(B12+(B13-B12)*4/4)*(1-B17)-B26*B14</f>
        <v>21536.436920660974</v>
      </c>
      <c r="C37" s="6">
        <f>C26*(C12+(C13-C12)*4/4)*(1-C17)-C26*C14</f>
        <v>20968.088335669439</v>
      </c>
      <c r="D37" s="6">
        <f>D26*(D12+(D13-D12)*4/4)*(1-D17)-D26*D14</f>
        <v>20760.806413427777</v>
      </c>
      <c r="E37" s="6">
        <f>E26*(E12+(E13-E12)*4/4)*(1-E17)-E26*E14</f>
        <v>21536.436920660974</v>
      </c>
    </row>
    <row r="38" spans="1:5" x14ac:dyDescent="0.25">
      <c r="A38" t="s">
        <v>314</v>
      </c>
      <c r="B38" s="6">
        <f>B27*B13*(1-B17)-B27*B14</f>
        <v>22184.264463946347</v>
      </c>
      <c r="C38" s="6">
        <f>C27*C13*(1-C17)-C27*C14</f>
        <v>21506.451190895939</v>
      </c>
      <c r="D38" s="6">
        <f>D27*D13*(1-D17)-D27*D14</f>
        <v>21385.302576139416</v>
      </c>
      <c r="E38" s="6">
        <f>E27*E13*(1-E17)-E27*E14</f>
        <v>22184.264463946347</v>
      </c>
    </row>
    <row r="39" spans="1:5" x14ac:dyDescent="0.25">
      <c r="A39" t="s">
        <v>315</v>
      </c>
      <c r="B39" s="6">
        <f>B28*B13*(1-B17)-B28*B14</f>
        <v>22804.216940494534</v>
      </c>
      <c r="C39" s="6">
        <f>C28*C13*(1-C17)-C28*C14</f>
        <v>22036.406734213542</v>
      </c>
      <c r="D39" s="6">
        <f>D28*D13*(1-D17)-D28*D14</f>
        <v>21982.927587117651</v>
      </c>
      <c r="E39" s="6">
        <f>E28*E13*(1-E17)-E28*E14</f>
        <v>22804.216940494534</v>
      </c>
    </row>
    <row r="40" spans="1:5" x14ac:dyDescent="0.25">
      <c r="A40" t="s">
        <v>316</v>
      </c>
      <c r="B40" s="6">
        <f>B29*B13*(1-B17)-B29*B14</f>
        <v>23392.808731141209</v>
      </c>
      <c r="C40" s="6">
        <f>C29*C13*(1-C17)-C29*C14</f>
        <v>22556.64353680929</v>
      </c>
      <c r="D40" s="6">
        <f>D29*D13*(1-D17)-D29*D14</f>
        <v>22550.321361081507</v>
      </c>
      <c r="E40" s="6">
        <f>E29*E13*(1-E17)-E29*E14</f>
        <v>23392.808731141209</v>
      </c>
    </row>
    <row r="41" spans="1:5" x14ac:dyDescent="0.25">
      <c r="A41" t="s">
        <v>317</v>
      </c>
      <c r="B41" s="6">
        <f>B30*B13*(1-B17)-B30*B14</f>
        <v>23946.65022694823</v>
      </c>
      <c r="C41" s="6">
        <f>C30*C13*(1-C17)-C30*C14</f>
        <v>23065.846635570251</v>
      </c>
      <c r="D41" s="6">
        <f>D30*D13*(1-D17)-D30*D14</f>
        <v>23084.216365186949</v>
      </c>
      <c r="E41" s="6">
        <f>E30*E13*(1-E17)-E30*E14</f>
        <v>23946.65022694823</v>
      </c>
    </row>
    <row r="42" spans="1:5" x14ac:dyDescent="0.25">
      <c r="A42" t="s">
        <v>318</v>
      </c>
      <c r="B42" s="6">
        <f>B31*B13*(1-B17)-B31*B14</f>
        <v>24462.479663684666</v>
      </c>
      <c r="C42" s="6">
        <f>C31*C13*(1-C17)-C31*C14</f>
        <v>23562.70287914147</v>
      </c>
      <c r="D42" s="6">
        <f>D31*D13*(1-D17)-D31*D14</f>
        <v>23581.468306995346</v>
      </c>
      <c r="E42" s="6">
        <f>E31*E13*(1-E17)-E31*E14</f>
        <v>24462.479663684666</v>
      </c>
    </row>
    <row r="44" spans="1:5" x14ac:dyDescent="0.25">
      <c r="A44" t="s">
        <v>121</v>
      </c>
      <c r="B44" s="6">
        <f>B33/(1+B16)^1</f>
        <v>16930.898623077428</v>
      </c>
      <c r="C44" s="6">
        <f>C33/(1+C16)^1</f>
        <v>16840.57850108188</v>
      </c>
      <c r="D44" s="6">
        <f>D33/(1+D16)^1</f>
        <v>16930.898623077428</v>
      </c>
      <c r="E44" s="6">
        <f>E33/(1+E16)^1</f>
        <v>16911.651920240292</v>
      </c>
    </row>
    <row r="45" spans="1:5" x14ac:dyDescent="0.25">
      <c r="A45" t="s">
        <v>122</v>
      </c>
      <c r="B45" s="6">
        <f>B34/(1+B16)^2</f>
        <v>16789.449525247033</v>
      </c>
      <c r="C45" s="6">
        <f>C34/(1+C16)^2</f>
        <v>16610.796238420306</v>
      </c>
      <c r="D45" s="6">
        <f>D34/(1+D16)^2</f>
        <v>16631.532099938384</v>
      </c>
      <c r="E45" s="6">
        <f>E34/(1+E16)^2</f>
        <v>16751.299408987139</v>
      </c>
    </row>
    <row r="46" spans="1:5" x14ac:dyDescent="0.25">
      <c r="A46" t="s">
        <v>123</v>
      </c>
      <c r="B46" s="6">
        <f>B35/(1+B16)^3</f>
        <v>16645.493446802549</v>
      </c>
      <c r="C46" s="6">
        <f>C35/(1+C16)^3</f>
        <v>16380.519256503507</v>
      </c>
      <c r="D46" s="6">
        <f>D35/(1+D16)^3</f>
        <v>16336.959080002849</v>
      </c>
      <c r="E46" s="6">
        <f>E35/(1+E16)^3</f>
        <v>16588.791173646496</v>
      </c>
    </row>
    <row r="47" spans="1:5" x14ac:dyDescent="0.25">
      <c r="A47" t="s">
        <v>124</v>
      </c>
      <c r="B47" s="6">
        <f>B36/(1+B16)^4</f>
        <v>16499.221860749305</v>
      </c>
      <c r="C47" s="6">
        <f>C36/(1+C16)^4</f>
        <v>16149.959953593248</v>
      </c>
      <c r="D47" s="6">
        <f>D36/(1+D16)^4</f>
        <v>16047.117911594685</v>
      </c>
      <c r="E47" s="6">
        <f>E36/(1+E16)^4</f>
        <v>16424.325766618877</v>
      </c>
    </row>
    <row r="48" spans="1:5" x14ac:dyDescent="0.25">
      <c r="A48" t="s">
        <v>125</v>
      </c>
      <c r="B48" s="6">
        <f>B37/(1+B16)^5</f>
        <v>16350.818727816142</v>
      </c>
      <c r="C48" s="6">
        <f>C37/(1+C16)^5</f>
        <v>15919.319092029493</v>
      </c>
      <c r="D48" s="6">
        <f>D37/(1+D16)^5</f>
        <v>15761.947232022547</v>
      </c>
      <c r="E48" s="6">
        <f>E37/(1+E16)^5</f>
        <v>16258.093385417607</v>
      </c>
    </row>
    <row r="49" spans="1:5" x14ac:dyDescent="0.25">
      <c r="A49" t="s">
        <v>157</v>
      </c>
      <c r="B49" s="6">
        <f>B38/(1+B16)^6</f>
        <v>15939.834739278855</v>
      </c>
      <c r="C49" s="6">
        <f>C38/(1+C16)^6</f>
        <v>15452.812436868417</v>
      </c>
      <c r="D49" s="6">
        <f>D38/(1+D16)^6</f>
        <v>15365.764750376493</v>
      </c>
      <c r="E49" s="6">
        <f>E38/(1+E16)^6</f>
        <v>15831.422760633608</v>
      </c>
    </row>
    <row r="50" spans="1:5" x14ac:dyDescent="0.25">
      <c r="A50" t="s">
        <v>158</v>
      </c>
      <c r="B50" s="6">
        <f>B39/(1+B16)^7</f>
        <v>15506.974561072073</v>
      </c>
      <c r="C50" s="6">
        <f>C39/(1+C16)^7</f>
        <v>14984.860016748999</v>
      </c>
      <c r="D50" s="6">
        <f>D39/(1+D16)^7</f>
        <v>14948.493945696096</v>
      </c>
      <c r="E50" s="6">
        <f>E39/(1+E16)^7</f>
        <v>15383.998483744488</v>
      </c>
    </row>
    <row r="51" spans="1:5" x14ac:dyDescent="0.25">
      <c r="A51" t="s">
        <v>159</v>
      </c>
      <c r="B51" s="6">
        <f>B40/(1+B16)^8</f>
        <v>15054.537246953681</v>
      </c>
      <c r="C51" s="6">
        <f>C40/(1+C16)^8</f>
        <v>14516.419733689081</v>
      </c>
      <c r="D51" s="6">
        <f>D40/(1+D16)^8</f>
        <v>14512.351071773806</v>
      </c>
      <c r="E51" s="6">
        <f>E40/(1+E16)^8</f>
        <v>14918.171190594872</v>
      </c>
    </row>
    <row r="52" spans="1:5" x14ac:dyDescent="0.25">
      <c r="A52" t="s">
        <v>160</v>
      </c>
      <c r="B52" s="6">
        <f>B41/(1+B16)^9</f>
        <v>14584.882729875239</v>
      </c>
      <c r="C52" s="6">
        <f>C41/(1+C16)^9</f>
        <v>14048.422850662399</v>
      </c>
      <c r="D52" s="6">
        <f>D41/(1+D16)^9</f>
        <v>14059.611069043671</v>
      </c>
      <c r="E52" s="6">
        <f>E41/(1+E16)^9</f>
        <v>14436.341250966396</v>
      </c>
    </row>
    <row r="53" spans="1:5" x14ac:dyDescent="0.25">
      <c r="A53" t="s">
        <v>161</v>
      </c>
      <c r="B53" s="6">
        <f>B42/(1+B16)^10</f>
        <v>14100.411218787773</v>
      </c>
      <c r="C53" s="6">
        <f>C42/(1+C16)^10</f>
        <v>13581.771128265296</v>
      </c>
      <c r="D53" s="6">
        <f>D42/(1+D16)^10</f>
        <v>13592.58770340706</v>
      </c>
      <c r="E53" s="6">
        <f>E42/(1+E16)^10</f>
        <v>13940.938085651143</v>
      </c>
    </row>
    <row r="54" spans="1:5" x14ac:dyDescent="0.25">
      <c r="A54" t="s">
        <v>163</v>
      </c>
      <c r="B54" s="6">
        <f>SUM(B44:B53)</f>
        <v>158402.52267966006</v>
      </c>
      <c r="C54" s="6">
        <f>SUM(C44:C53)</f>
        <v>154485.45920786262</v>
      </c>
      <c r="D54" s="6">
        <f>SUM(D44:D53)</f>
        <v>154187.26348693305</v>
      </c>
      <c r="E54" s="6">
        <f>SUM(E44:E53)</f>
        <v>157445.03342650094</v>
      </c>
    </row>
    <row r="55" spans="1:5" x14ac:dyDescent="0.25">
      <c r="A55" t="s">
        <v>164</v>
      </c>
      <c r="B55" s="6">
        <f>B42*(1+B15)/MAX(B16-B15,0.01)</f>
        <v>711973.79989370995</v>
      </c>
      <c r="C55" s="6">
        <f>C42*(1+C15)/MAX(C16-C15,0.01)</f>
        <v>685786.04194133938</v>
      </c>
      <c r="D55" s="6">
        <f>D42*(1+D15)/MAX(D16-D15,0.01)</f>
        <v>686332.20460184792</v>
      </c>
      <c r="E55" s="6">
        <f>E42*(1+E15)/MAX(E16-E15,0.01)</f>
        <v>688388.64643893717</v>
      </c>
    </row>
    <row r="56" spans="1:5" x14ac:dyDescent="0.25">
      <c r="A56" t="s">
        <v>165</v>
      </c>
      <c r="B56" s="6">
        <f>B55/(1+B16)^10</f>
        <v>410388.62345617515</v>
      </c>
      <c r="C56" s="6">
        <f>C55/(1+C16)^10</f>
        <v>395293.74505042302</v>
      </c>
      <c r="D56" s="6">
        <f>D55/(1+D16)^10</f>
        <v>395608.55852033262</v>
      </c>
      <c r="E56" s="6">
        <f>E55/(1+E16)^10</f>
        <v>392306.2433084881</v>
      </c>
    </row>
    <row r="57" spans="1:5" x14ac:dyDescent="0.25">
      <c r="A57" t="s">
        <v>319</v>
      </c>
      <c r="B57" s="6">
        <f>B54+B56</f>
        <v>568791.14613583521</v>
      </c>
      <c r="C57" s="6">
        <f>C54+C56</f>
        <v>549779.2042582857</v>
      </c>
      <c r="D57" s="6">
        <f>D54+D56</f>
        <v>549795.82200726564</v>
      </c>
      <c r="E57" s="6">
        <f>E54+E56</f>
        <v>549751.27673498902</v>
      </c>
    </row>
    <row r="58" spans="1:5" x14ac:dyDescent="0.25">
      <c r="A58" t="s">
        <v>320</v>
      </c>
      <c r="B58" s="6">
        <f>B57+B18+B19</f>
        <v>158161.34613583522</v>
      </c>
      <c r="C58" s="6">
        <f>C57+C18+C19</f>
        <v>139149.40425828571</v>
      </c>
      <c r="D58" s="6">
        <f>D57+D18+D19</f>
        <v>139166.02200726565</v>
      </c>
      <c r="E58" s="6">
        <f>E57+E18+E19</f>
        <v>139121.47673498903</v>
      </c>
    </row>
    <row r="59" spans="1:5" x14ac:dyDescent="0.25">
      <c r="A59" s="4" t="s">
        <v>321</v>
      </c>
      <c r="B59" s="33">
        <f>B58/B20</f>
        <v>32.46999510076683</v>
      </c>
      <c r="C59" s="33">
        <f>C58/C20</f>
        <v>28.566907053641081</v>
      </c>
      <c r="D59" s="33">
        <f>D58/D20</f>
        <v>28.570318621898103</v>
      </c>
      <c r="E59" s="33">
        <f>E58/E20</f>
        <v>28.561173626563136</v>
      </c>
    </row>
    <row r="60" spans="1:5" x14ac:dyDescent="0.25">
      <c r="A60" t="s">
        <v>322</v>
      </c>
      <c r="B60" s="6">
        <f>B59-B5</f>
        <v>-4.8992331684871715E-6</v>
      </c>
      <c r="C60" s="6">
        <f>C59-B4</f>
        <v>-3.0929463589188799E-3</v>
      </c>
      <c r="D60" s="6">
        <f>D59-B4</f>
        <v>3.1862189810283326E-4</v>
      </c>
      <c r="E60" s="6">
        <f>E59-B4</f>
        <v>-8.826373436864543E-3</v>
      </c>
    </row>
    <row r="62" spans="1:5" x14ac:dyDescent="0.25">
      <c r="A62" s="3" t="s">
        <v>323</v>
      </c>
    </row>
    <row r="63" spans="1:5" x14ac:dyDescent="0.25">
      <c r="A63" t="s">
        <v>324</v>
      </c>
      <c r="B63" s="47">
        <v>2.5059999999999998</v>
      </c>
    </row>
    <row r="64" spans="1:5" x14ac:dyDescent="0.25">
      <c r="A64" t="s">
        <v>325</v>
      </c>
      <c r="B64" s="48">
        <v>7.2409999999999997</v>
      </c>
    </row>
    <row r="65" spans="1:3" x14ac:dyDescent="0.25">
      <c r="A65" t="s">
        <v>326</v>
      </c>
      <c r="B65" s="49">
        <v>16.241572999999999</v>
      </c>
    </row>
    <row r="66" spans="1:3" x14ac:dyDescent="0.25">
      <c r="A66" t="s">
        <v>327</v>
      </c>
      <c r="B66" s="49">
        <v>11.370340000000001</v>
      </c>
    </row>
    <row r="67" spans="1:3" x14ac:dyDescent="0.25">
      <c r="A67" t="s">
        <v>328</v>
      </c>
      <c r="B67" s="49">
        <v>2.3102125999999998</v>
      </c>
    </row>
    <row r="69" spans="1:3" x14ac:dyDescent="0.25">
      <c r="A69" s="4" t="s">
        <v>329</v>
      </c>
      <c r="B69" s="2" t="s">
        <v>330</v>
      </c>
      <c r="C69" s="2" t="s">
        <v>331</v>
      </c>
    </row>
    <row r="70" spans="1:3" x14ac:dyDescent="0.25">
      <c r="B70" s="50">
        <v>2025</v>
      </c>
      <c r="C70" s="51">
        <v>2.34</v>
      </c>
    </row>
    <row r="71" spans="1:3" x14ac:dyDescent="0.25">
      <c r="B71" s="50">
        <v>2024</v>
      </c>
      <c r="C71" s="51">
        <v>2.4500000000000002</v>
      </c>
    </row>
    <row r="72" spans="1:3" x14ac:dyDescent="0.25">
      <c r="B72" s="50">
        <v>2023</v>
      </c>
      <c r="C72" s="51">
        <v>2.2200000000000002</v>
      </c>
    </row>
    <row r="73" spans="1:3" x14ac:dyDescent="0.25">
      <c r="B73" s="50">
        <v>2022</v>
      </c>
      <c r="C73" s="51">
        <v>2.04</v>
      </c>
    </row>
    <row r="77" spans="1:3" x14ac:dyDescent="0.25">
      <c r="A77" s="3" t="s">
        <v>332</v>
      </c>
    </row>
    <row r="79" spans="1:3" x14ac:dyDescent="0.25">
      <c r="A79" t="s">
        <v>333</v>
      </c>
      <c r="B79" s="52">
        <v>309734</v>
      </c>
    </row>
    <row r="80" spans="1:3" x14ac:dyDescent="0.25">
      <c r="A80" t="s">
        <v>334</v>
      </c>
      <c r="B80" s="52">
        <v>328752</v>
      </c>
    </row>
    <row r="81" spans="1:2" x14ac:dyDescent="0.25">
      <c r="A81" t="s">
        <v>335</v>
      </c>
      <c r="B81" s="52">
        <v>42775</v>
      </c>
    </row>
    <row r="82" spans="1:2" x14ac:dyDescent="0.25">
      <c r="A82" t="s">
        <v>336</v>
      </c>
      <c r="B82" s="52">
        <v>51332</v>
      </c>
    </row>
    <row r="83" spans="1:2" x14ac:dyDescent="0.25">
      <c r="A83" s="4" t="s">
        <v>337</v>
      </c>
      <c r="B83" s="34">
        <f>IF(B81&gt;0,B79/B81,"")</f>
        <v>7.2410052600818231</v>
      </c>
    </row>
    <row r="84" spans="1:2" x14ac:dyDescent="0.25">
      <c r="A84" s="4" t="s">
        <v>338</v>
      </c>
      <c r="B84" s="34">
        <f>IF(B81&gt;0,B80/B81,"")</f>
        <v>7.6856107539450615</v>
      </c>
    </row>
    <row r="85" spans="1:2" x14ac:dyDescent="0.25">
      <c r="A85" s="4" t="s">
        <v>339</v>
      </c>
      <c r="B85" s="34">
        <f>IF(B82&gt;0,B79/B82,"")</f>
        <v>6.0339359463882181</v>
      </c>
    </row>
    <row r="86" spans="1:2" x14ac:dyDescent="0.25">
      <c r="A86" s="4" t="s">
        <v>340</v>
      </c>
      <c r="B86" s="34">
        <f>IF(B82&gt;0,B80/B82,"")</f>
        <v>6.4044260889893243</v>
      </c>
    </row>
    <row r="88" spans="1:2" x14ac:dyDescent="0.25">
      <c r="A88" s="4" t="s">
        <v>341</v>
      </c>
    </row>
    <row r="89" spans="1:2" x14ac:dyDescent="0.25">
      <c r="A89" t="s">
        <v>342</v>
      </c>
      <c r="B89" s="48">
        <v>5.35</v>
      </c>
    </row>
    <row r="90" spans="1:2" x14ac:dyDescent="0.25">
      <c r="A90" t="s">
        <v>343</v>
      </c>
      <c r="B90" s="48">
        <v>5.42</v>
      </c>
    </row>
    <row r="91" spans="1:2" x14ac:dyDescent="0.25">
      <c r="A91" t="s">
        <v>344</v>
      </c>
      <c r="B91" s="48">
        <v>5.6</v>
      </c>
    </row>
    <row r="93" spans="1:2" x14ac:dyDescent="0.25">
      <c r="A93" s="4" t="s">
        <v>345</v>
      </c>
      <c r="B93" s="53" t="s">
        <v>346</v>
      </c>
    </row>
    <row r="94" spans="1:2" x14ac:dyDescent="0.25">
      <c r="A94" t="s">
        <v>347</v>
      </c>
      <c r="B94" s="43" t="s">
        <v>348</v>
      </c>
    </row>
    <row r="96" spans="1:2" x14ac:dyDescent="0.25">
      <c r="A96" s="3" t="s">
        <v>349</v>
      </c>
    </row>
    <row r="97" spans="1:5" x14ac:dyDescent="0.25">
      <c r="A97" s="4" t="s">
        <v>350</v>
      </c>
      <c r="B97" s="54">
        <v>0.48699999999999999</v>
      </c>
    </row>
    <row r="98" spans="1:5" x14ac:dyDescent="0.25">
      <c r="A98" t="s">
        <v>351</v>
      </c>
      <c r="B98" s="48">
        <v>7.5</v>
      </c>
      <c r="C98" s="48">
        <v>7.73</v>
      </c>
      <c r="D98" s="48">
        <v>11.38</v>
      </c>
    </row>
    <row r="99" spans="1:5" x14ac:dyDescent="0.25">
      <c r="A99" s="4" t="s">
        <v>352</v>
      </c>
      <c r="B99" s="4" t="s">
        <v>353</v>
      </c>
      <c r="C99" s="4" t="s">
        <v>354</v>
      </c>
      <c r="D99" s="4" t="s">
        <v>355</v>
      </c>
      <c r="E99" s="4" t="s">
        <v>356</v>
      </c>
    </row>
    <row r="100" spans="1:5" x14ac:dyDescent="0.25">
      <c r="A100" s="50" t="s">
        <v>357</v>
      </c>
      <c r="B100" s="55">
        <v>0.25</v>
      </c>
      <c r="C100" s="55">
        <v>0.43</v>
      </c>
      <c r="D100" s="55">
        <v>0.96</v>
      </c>
      <c r="E100" s="56">
        <v>7.7290000000000001</v>
      </c>
    </row>
    <row r="101" spans="1:5" x14ac:dyDescent="0.25">
      <c r="A101" s="50" t="s">
        <v>358</v>
      </c>
      <c r="B101" s="55">
        <v>0.32800000000000001</v>
      </c>
      <c r="C101" s="55">
        <v>0.56699999999999995</v>
      </c>
      <c r="D101" s="55">
        <v>0.97099999999999997</v>
      </c>
      <c r="E101" s="56">
        <v>7.4950000000000001</v>
      </c>
    </row>
    <row r="102" spans="1:5" x14ac:dyDescent="0.25">
      <c r="A102" s="50" t="s">
        <v>359</v>
      </c>
      <c r="B102" s="55">
        <v>0.216</v>
      </c>
      <c r="C102" s="55">
        <v>0.43</v>
      </c>
      <c r="D102" s="55">
        <v>1.3180000000000001</v>
      </c>
      <c r="E102" s="56">
        <v>7.57</v>
      </c>
    </row>
    <row r="103" spans="1:5" x14ac:dyDescent="0.25">
      <c r="A103" s="50" t="s">
        <v>360</v>
      </c>
      <c r="B103" s="55">
        <v>0.44500000000000001</v>
      </c>
      <c r="C103" s="55">
        <v>1.1040000000000001</v>
      </c>
      <c r="D103" s="55">
        <v>1.9750000000000001</v>
      </c>
      <c r="E103" s="56">
        <v>7.9619999999999997</v>
      </c>
    </row>
    <row r="104" spans="1:5" x14ac:dyDescent="0.25">
      <c r="A104" s="50" t="s">
        <v>361</v>
      </c>
      <c r="B104" s="55">
        <v>0.33500000000000002</v>
      </c>
      <c r="C104" s="55">
        <v>0.46100000000000002</v>
      </c>
      <c r="D104" s="55">
        <v>0.502</v>
      </c>
      <c r="E104" s="56">
        <v>11.38</v>
      </c>
    </row>
    <row r="105" spans="1:5" x14ac:dyDescent="0.25">
      <c r="A105" s="50" t="s">
        <v>6</v>
      </c>
      <c r="B105" s="55">
        <v>0.48699999999999999</v>
      </c>
      <c r="C105" s="55">
        <v>0.77700000000000002</v>
      </c>
      <c r="D105" s="55">
        <v>0.79600000000000004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workbookViewId="0"/>
  </sheetViews>
  <sheetFormatPr baseColWidth="10" defaultColWidth="9.140625" defaultRowHeight="15" x14ac:dyDescent="0.25"/>
  <cols>
    <col min="1" max="1" width="36" customWidth="1"/>
    <col min="2" max="2" width="18" customWidth="1"/>
  </cols>
  <sheetData>
    <row r="1" spans="1:2" ht="15.75" customHeight="1" x14ac:dyDescent="0.25">
      <c r="A1" s="35" t="s">
        <v>362</v>
      </c>
    </row>
    <row r="2" spans="1:2" x14ac:dyDescent="0.25">
      <c r="A2" s="2" t="s">
        <v>363</v>
      </c>
    </row>
    <row r="4" spans="1:2" x14ac:dyDescent="0.25">
      <c r="A4" s="4" t="s">
        <v>364</v>
      </c>
      <c r="B4" s="31" t="s">
        <v>365</v>
      </c>
    </row>
    <row r="5" spans="1:2" x14ac:dyDescent="0.25">
      <c r="A5" s="4" t="s">
        <v>366</v>
      </c>
      <c r="B5" s="31" t="s">
        <v>367</v>
      </c>
    </row>
    <row r="6" spans="1:2" x14ac:dyDescent="0.25">
      <c r="A6" s="4" t="s">
        <v>368</v>
      </c>
      <c r="B6" s="31" t="s">
        <v>369</v>
      </c>
    </row>
    <row r="7" spans="1:2" x14ac:dyDescent="0.25">
      <c r="A7" s="4" t="s">
        <v>370</v>
      </c>
      <c r="B7" s="31" t="s">
        <v>371</v>
      </c>
    </row>
    <row r="8" spans="1:2" x14ac:dyDescent="0.25">
      <c r="A8" s="4" t="s">
        <v>372</v>
      </c>
      <c r="B8" s="31" t="s">
        <v>373</v>
      </c>
    </row>
    <row r="9" spans="1:2" x14ac:dyDescent="0.25">
      <c r="A9" s="4" t="s">
        <v>374</v>
      </c>
      <c r="B9" s="31" t="s">
        <v>375</v>
      </c>
    </row>
    <row r="10" spans="1:2" x14ac:dyDescent="0.25">
      <c r="A10" s="4" t="s">
        <v>376</v>
      </c>
      <c r="B10" s="31" t="s">
        <v>269</v>
      </c>
    </row>
    <row r="11" spans="1:2" x14ac:dyDescent="0.25">
      <c r="A11" s="4" t="s">
        <v>377</v>
      </c>
      <c r="B11" s="31" t="s">
        <v>378</v>
      </c>
    </row>
    <row r="12" spans="1:2" x14ac:dyDescent="0.25">
      <c r="A12" s="4" t="s">
        <v>379</v>
      </c>
      <c r="B12" s="31" t="s">
        <v>380</v>
      </c>
    </row>
    <row r="13" spans="1:2" x14ac:dyDescent="0.25">
      <c r="A13" s="4" t="s">
        <v>381</v>
      </c>
      <c r="B13" s="31" t="s">
        <v>382</v>
      </c>
    </row>
    <row r="14" spans="1:2" x14ac:dyDescent="0.25">
      <c r="A14" s="4" t="s">
        <v>383</v>
      </c>
      <c r="B14" s="31" t="s">
        <v>267</v>
      </c>
    </row>
    <row r="15" spans="1:2" x14ac:dyDescent="0.25">
      <c r="A15" s="4" t="s">
        <v>384</v>
      </c>
      <c r="B15" s="31" t="s">
        <v>269</v>
      </c>
    </row>
    <row r="16" spans="1:2" x14ac:dyDescent="0.25">
      <c r="A16" s="4" t="s">
        <v>385</v>
      </c>
      <c r="B16" s="31" t="s">
        <v>271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8</vt:i4>
      </vt:variant>
      <vt:variant>
        <vt:lpstr>Benannte Bereiche</vt:lpstr>
      </vt:variant>
      <vt:variant>
        <vt:i4>23</vt:i4>
      </vt:variant>
    </vt:vector>
  </HeadingPairs>
  <TitlesOfParts>
    <vt:vector size="31" baseType="lpstr">
      <vt:lpstr>Inputs</vt:lpstr>
      <vt:lpstr>DCF Base</vt:lpstr>
      <vt:lpstr>DCF Bull</vt:lpstr>
      <vt:lpstr>DCF Bear</vt:lpstr>
      <vt:lpstr>Adjustments</vt:lpstr>
      <vt:lpstr>Szenarien</vt:lpstr>
      <vt:lpstr>Markt-implizit</vt:lpstr>
      <vt:lpstr>Outputs</vt:lpstr>
      <vt:lpstr>OUT_EQUITY</vt:lpstr>
      <vt:lpstr>OUT_GROUP_EV</vt:lpstr>
      <vt:lpstr>OUT_MINORITY</vt:lpstr>
      <vt:lpstr>OUT_NET_DEBT</vt:lpstr>
      <vt:lpstr>OUT_PRICE_TARGET</vt:lpstr>
      <vt:lpstr>OUT_SEG_EV_1</vt:lpstr>
      <vt:lpstr>OUT_SEG_EV_2</vt:lpstr>
      <vt:lpstr>OUT_SEG_EV_3</vt:lpstr>
      <vt:lpstr>OUT_SEG_EV_4</vt:lpstr>
      <vt:lpstr>OUT_SEG_EV_5</vt:lpstr>
      <vt:lpstr>OUT_SEG_EV_6</vt:lpstr>
      <vt:lpstr>OUT_SEG_EV_7</vt:lpstr>
      <vt:lpstr>OUT_SEG_EV_8</vt:lpstr>
      <vt:lpstr>OUT_SEG_WACC_1</vt:lpstr>
      <vt:lpstr>OUT_SEG_WACC_2</vt:lpstr>
      <vt:lpstr>OUT_SEG_WACC_3</vt:lpstr>
      <vt:lpstr>OUT_SEG_WACC_4</vt:lpstr>
      <vt:lpstr>OUT_SEG_WACC_5</vt:lpstr>
      <vt:lpstr>OUT_SEG_WACC_6</vt:lpstr>
      <vt:lpstr>OUT_SEG_WACC_7</vt:lpstr>
      <vt:lpstr>OUT_SEG_WACC_8</vt:lpstr>
      <vt:lpstr>OUT_SHARES</vt:lpstr>
      <vt:lpstr>OUT_WACC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Jannick Wrage</cp:lastModifiedBy>
  <dcterms:created xsi:type="dcterms:W3CDTF">2026-08-18T12:19:17Z</dcterms:created>
  <dcterms:modified xsi:type="dcterms:W3CDTF">2026-08-19T10:30:02Z</dcterms:modified>
</cp:coreProperties>
</file>