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DHL_Group\2026-07-31_run1\"/>
    </mc:Choice>
  </mc:AlternateContent>
  <xr:revisionPtr revIDLastSave="0" documentId="13_ncr:1_{7F52CB11-DD66-4B0E-B955-B59AE75ABDB8}" xr6:coauthVersionLast="47" xr6:coauthVersionMax="47" xr10:uidLastSave="{00000000-0000-0000-0000-000000000000}"/>
  <bookViews>
    <workbookView xWindow="4590" yWindow="4140" windowWidth="18510" windowHeight="939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7" i="7"/>
  <c r="B48" i="7" s="1"/>
  <c r="B26" i="7"/>
  <c r="B27" i="7" s="1"/>
  <c r="B25" i="7"/>
  <c r="B36" i="7" s="1"/>
  <c r="B47" i="7" s="1"/>
  <c r="E24" i="7"/>
  <c r="D24" i="7"/>
  <c r="B24" i="7"/>
  <c r="B35" i="7" s="1"/>
  <c r="B46" i="7" s="1"/>
  <c r="D23" i="7"/>
  <c r="C23" i="7"/>
  <c r="B23" i="7"/>
  <c r="B34" i="7" s="1"/>
  <c r="B45" i="7" s="1"/>
  <c r="D22" i="7"/>
  <c r="C22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C27" i="7" s="1"/>
  <c r="E14" i="7"/>
  <c r="D14" i="7"/>
  <c r="C14" i="7"/>
  <c r="E13" i="7"/>
  <c r="C13" i="7"/>
  <c r="C34" i="7" s="1"/>
  <c r="C45" i="7" s="1"/>
  <c r="E12" i="7"/>
  <c r="D12" i="7"/>
  <c r="C12" i="7"/>
  <c r="E11" i="7"/>
  <c r="D11" i="7"/>
  <c r="E10" i="7"/>
  <c r="E26" i="7" s="1"/>
  <c r="D10" i="7"/>
  <c r="D26" i="7" s="1"/>
  <c r="C10" i="7"/>
  <c r="C26" i="7" s="1"/>
  <c r="B6" i="7"/>
  <c r="D9" i="5"/>
  <c r="D8" i="5"/>
  <c r="D7" i="5"/>
  <c r="D6" i="5"/>
  <c r="D5" i="5"/>
  <c r="K120" i="4"/>
  <c r="J106" i="4"/>
  <c r="I106" i="4"/>
  <c r="H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I49" i="4"/>
  <c r="H49" i="4"/>
  <c r="G49" i="4"/>
  <c r="F49" i="4"/>
  <c r="C49" i="4"/>
  <c r="D47" i="4"/>
  <c r="J46" i="4"/>
  <c r="I46" i="4"/>
  <c r="H46" i="4"/>
  <c r="G46" i="4"/>
  <c r="E46" i="4"/>
  <c r="J37" i="4"/>
  <c r="J43" i="4" s="1"/>
  <c r="H37" i="4"/>
  <c r="H43" i="4" s="1"/>
  <c r="H55" i="4" s="1"/>
  <c r="G37" i="4"/>
  <c r="G43" i="4" s="1"/>
  <c r="G55" i="4" s="1"/>
  <c r="F37" i="4"/>
  <c r="F43" i="4" s="1"/>
  <c r="E37" i="4"/>
  <c r="E43" i="4" s="1"/>
  <c r="E55" i="4" s="1"/>
  <c r="D37" i="4"/>
  <c r="D43" i="4" s="1"/>
  <c r="C37" i="4"/>
  <c r="C43" i="4" s="1"/>
  <c r="C55" i="4" s="1"/>
  <c r="J31" i="4"/>
  <c r="I31" i="4"/>
  <c r="H31" i="4"/>
  <c r="G31" i="4"/>
  <c r="F31" i="4"/>
  <c r="E31" i="4"/>
  <c r="D31" i="4"/>
  <c r="C31" i="4"/>
  <c r="J30" i="4"/>
  <c r="J36" i="4" s="1"/>
  <c r="J42" i="4" s="1"/>
  <c r="J54" i="4" s="1"/>
  <c r="I30" i="4"/>
  <c r="I36" i="4" s="1"/>
  <c r="I42" i="4" s="1"/>
  <c r="I54" i="4" s="1"/>
  <c r="H30" i="4"/>
  <c r="H36" i="4" s="1"/>
  <c r="H42" i="4" s="1"/>
  <c r="H54" i="4" s="1"/>
  <c r="G30" i="4"/>
  <c r="F30" i="4"/>
  <c r="E30" i="4"/>
  <c r="D30" i="4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F34" i="4" s="1"/>
  <c r="F40" i="4" s="1"/>
  <c r="F52" i="4" s="1"/>
  <c r="E28" i="4"/>
  <c r="D28" i="4"/>
  <c r="C28" i="4"/>
  <c r="J27" i="4"/>
  <c r="J33" i="4" s="1"/>
  <c r="J39" i="4" s="1"/>
  <c r="J51" i="4" s="1"/>
  <c r="I27" i="4"/>
  <c r="I33" i="4" s="1"/>
  <c r="I39" i="4" s="1"/>
  <c r="H27" i="4"/>
  <c r="G27" i="4"/>
  <c r="F27" i="4"/>
  <c r="E27" i="4"/>
  <c r="D27" i="4"/>
  <c r="C27" i="4"/>
  <c r="J25" i="4"/>
  <c r="J63" i="4" s="1"/>
  <c r="I25" i="4"/>
  <c r="H25" i="4"/>
  <c r="H63" i="4" s="1"/>
  <c r="H64" i="4" s="1"/>
  <c r="G25" i="4"/>
  <c r="G63" i="4" s="1"/>
  <c r="F25" i="4"/>
  <c r="F63" i="4" s="1"/>
  <c r="E25" i="4"/>
  <c r="E49" i="4" s="1"/>
  <c r="D25" i="4"/>
  <c r="D63" i="4" s="1"/>
  <c r="C25" i="4"/>
  <c r="C63" i="4" s="1"/>
  <c r="J24" i="4"/>
  <c r="J48" i="4" s="1"/>
  <c r="I24" i="4"/>
  <c r="I48" i="4" s="1"/>
  <c r="H24" i="4"/>
  <c r="H48" i="4" s="1"/>
  <c r="G24" i="4"/>
  <c r="G36" i="4" s="1"/>
  <c r="G42" i="4" s="1"/>
  <c r="F24" i="4"/>
  <c r="F48" i="4" s="1"/>
  <c r="E24" i="4"/>
  <c r="D24" i="4"/>
  <c r="C24" i="4"/>
  <c r="J23" i="4"/>
  <c r="I23" i="4"/>
  <c r="H23" i="4"/>
  <c r="G23" i="4"/>
  <c r="G35" i="4" s="1"/>
  <c r="G41" i="4" s="1"/>
  <c r="F23" i="4"/>
  <c r="F35" i="4" s="1"/>
  <c r="F41" i="4" s="1"/>
  <c r="E23" i="4"/>
  <c r="E35" i="4" s="1"/>
  <c r="E41" i="4" s="1"/>
  <c r="D23" i="4"/>
  <c r="D35" i="4" s="1"/>
  <c r="D41" i="4" s="1"/>
  <c r="D53" i="4" s="1"/>
  <c r="C23" i="4"/>
  <c r="J22" i="4"/>
  <c r="J34" i="4" s="1"/>
  <c r="J40" i="4" s="1"/>
  <c r="I22" i="4"/>
  <c r="I34" i="4" s="1"/>
  <c r="I40" i="4" s="1"/>
  <c r="I52" i="4" s="1"/>
  <c r="H22" i="4"/>
  <c r="H34" i="4" s="1"/>
  <c r="H40" i="4" s="1"/>
  <c r="H52" i="4" s="1"/>
  <c r="G22" i="4"/>
  <c r="F22" i="4"/>
  <c r="F46" i="4" s="1"/>
  <c r="E22" i="4"/>
  <c r="E34" i="4" s="1"/>
  <c r="E40" i="4" s="1"/>
  <c r="E52" i="4" s="1"/>
  <c r="D22" i="4"/>
  <c r="D46" i="4" s="1"/>
  <c r="C22" i="4"/>
  <c r="C46" i="4" s="1"/>
  <c r="J21" i="4"/>
  <c r="J45" i="4" s="1"/>
  <c r="I21" i="4"/>
  <c r="I45" i="4" s="1"/>
  <c r="H21" i="4"/>
  <c r="H45" i="4" s="1"/>
  <c r="G21" i="4"/>
  <c r="F21" i="4"/>
  <c r="E21" i="4"/>
  <c r="D21" i="4"/>
  <c r="C21" i="4"/>
  <c r="K120" i="3"/>
  <c r="J106" i="3"/>
  <c r="I106" i="3"/>
  <c r="H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I63" i="3"/>
  <c r="H63" i="3"/>
  <c r="H64" i="3" s="1"/>
  <c r="H88" i="3" s="1"/>
  <c r="G63" i="3"/>
  <c r="E63" i="3"/>
  <c r="D63" i="3"/>
  <c r="D75" i="3" s="1"/>
  <c r="D81" i="3" s="1"/>
  <c r="C63" i="3"/>
  <c r="J49" i="3"/>
  <c r="D48" i="3"/>
  <c r="C47" i="3"/>
  <c r="J46" i="3"/>
  <c r="I46" i="3"/>
  <c r="H46" i="3"/>
  <c r="G46" i="3"/>
  <c r="F46" i="3"/>
  <c r="E46" i="3"/>
  <c r="F45" i="3"/>
  <c r="F39" i="3"/>
  <c r="F51" i="3" s="1"/>
  <c r="J37" i="3"/>
  <c r="J43" i="3" s="1"/>
  <c r="J55" i="3" s="1"/>
  <c r="G37" i="3"/>
  <c r="G43" i="3" s="1"/>
  <c r="F37" i="3"/>
  <c r="F43" i="3" s="1"/>
  <c r="E37" i="3"/>
  <c r="E43" i="3" s="1"/>
  <c r="D37" i="3"/>
  <c r="D43" i="3" s="1"/>
  <c r="D55" i="3" s="1"/>
  <c r="C37" i="3"/>
  <c r="C43" i="3" s="1"/>
  <c r="H36" i="3"/>
  <c r="H42" i="3" s="1"/>
  <c r="H54" i="3" s="1"/>
  <c r="J31" i="3"/>
  <c r="I31" i="3"/>
  <c r="H31" i="3"/>
  <c r="G31" i="3"/>
  <c r="F31" i="3"/>
  <c r="E31" i="3"/>
  <c r="D31" i="3"/>
  <c r="C31" i="3"/>
  <c r="J30" i="3"/>
  <c r="I30" i="3"/>
  <c r="I36" i="3" s="1"/>
  <c r="I42" i="3" s="1"/>
  <c r="I54" i="3" s="1"/>
  <c r="H30" i="3"/>
  <c r="G30" i="3"/>
  <c r="F30" i="3"/>
  <c r="E30" i="3"/>
  <c r="D30" i="3"/>
  <c r="D36" i="3" s="1"/>
  <c r="D42" i="3" s="1"/>
  <c r="C30" i="3"/>
  <c r="J29" i="3"/>
  <c r="I29" i="3"/>
  <c r="H29" i="3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F33" i="3" s="1"/>
  <c r="E27" i="3"/>
  <c r="D27" i="3"/>
  <c r="C27" i="3"/>
  <c r="J25" i="3"/>
  <c r="J63" i="3" s="1"/>
  <c r="I25" i="3"/>
  <c r="H25" i="3"/>
  <c r="G25" i="3"/>
  <c r="G49" i="3" s="1"/>
  <c r="F25" i="3"/>
  <c r="F63" i="3" s="1"/>
  <c r="E25" i="3"/>
  <c r="E49" i="3" s="1"/>
  <c r="D25" i="3"/>
  <c r="D49" i="3" s="1"/>
  <c r="C25" i="3"/>
  <c r="C49" i="3" s="1"/>
  <c r="J24" i="3"/>
  <c r="J48" i="3" s="1"/>
  <c r="I24" i="3"/>
  <c r="I48" i="3" s="1"/>
  <c r="H24" i="3"/>
  <c r="H48" i="3" s="1"/>
  <c r="G24" i="3"/>
  <c r="G48" i="3" s="1"/>
  <c r="F24" i="3"/>
  <c r="F48" i="3" s="1"/>
  <c r="E24" i="3"/>
  <c r="E48" i="3" s="1"/>
  <c r="D24" i="3"/>
  <c r="C24" i="3"/>
  <c r="C48" i="3" s="1"/>
  <c r="J23" i="3"/>
  <c r="J47" i="3" s="1"/>
  <c r="I23" i="3"/>
  <c r="H23" i="3"/>
  <c r="H47" i="3" s="1"/>
  <c r="G23" i="3"/>
  <c r="F23" i="3"/>
  <c r="E23" i="3"/>
  <c r="D23" i="3"/>
  <c r="D47" i="3" s="1"/>
  <c r="C23" i="3"/>
  <c r="J22" i="3"/>
  <c r="I22" i="3"/>
  <c r="I34" i="3" s="1"/>
  <c r="I40" i="3" s="1"/>
  <c r="H22" i="3"/>
  <c r="H34" i="3" s="1"/>
  <c r="H40" i="3" s="1"/>
  <c r="H52" i="3" s="1"/>
  <c r="G22" i="3"/>
  <c r="G34" i="3" s="1"/>
  <c r="G40" i="3" s="1"/>
  <c r="G52" i="3" s="1"/>
  <c r="F22" i="3"/>
  <c r="F34" i="3" s="1"/>
  <c r="F40" i="3" s="1"/>
  <c r="E22" i="3"/>
  <c r="E34" i="3" s="1"/>
  <c r="E40" i="3" s="1"/>
  <c r="E52" i="3" s="1"/>
  <c r="D22" i="3"/>
  <c r="D46" i="3" s="1"/>
  <c r="C22" i="3"/>
  <c r="C46" i="3" s="1"/>
  <c r="J21" i="3"/>
  <c r="J45" i="3" s="1"/>
  <c r="I21" i="3"/>
  <c r="I45" i="3" s="1"/>
  <c r="H21" i="3"/>
  <c r="H45" i="3" s="1"/>
  <c r="G21" i="3"/>
  <c r="G45" i="3" s="1"/>
  <c r="F21" i="3"/>
  <c r="E21" i="3"/>
  <c r="E45" i="3" s="1"/>
  <c r="D21" i="3"/>
  <c r="C21" i="3"/>
  <c r="K120" i="2"/>
  <c r="J106" i="2"/>
  <c r="I106" i="2"/>
  <c r="H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J75" i="2" s="1"/>
  <c r="J81" i="2" s="1"/>
  <c r="H63" i="2"/>
  <c r="G63" i="2"/>
  <c r="D63" i="2"/>
  <c r="D87" i="2" s="1"/>
  <c r="G51" i="2"/>
  <c r="D51" i="2"/>
  <c r="D49" i="2"/>
  <c r="J48" i="2"/>
  <c r="I48" i="2"/>
  <c r="E48" i="2"/>
  <c r="G45" i="2"/>
  <c r="I36" i="2"/>
  <c r="I42" i="2" s="1"/>
  <c r="G33" i="2"/>
  <c r="G39" i="2" s="1"/>
  <c r="D33" i="2"/>
  <c r="D39" i="2" s="1"/>
  <c r="C33" i="2"/>
  <c r="C39" i="2" s="1"/>
  <c r="C51" i="2" s="1"/>
  <c r="J31" i="2"/>
  <c r="I31" i="2"/>
  <c r="H31" i="2"/>
  <c r="G31" i="2"/>
  <c r="F31" i="2"/>
  <c r="E31" i="2"/>
  <c r="D31" i="2"/>
  <c r="D37" i="2" s="1"/>
  <c r="D43" i="2" s="1"/>
  <c r="D55" i="2" s="1"/>
  <c r="C31" i="2"/>
  <c r="J30" i="2"/>
  <c r="J36" i="2" s="1"/>
  <c r="J42" i="2" s="1"/>
  <c r="J54" i="2" s="1"/>
  <c r="I30" i="2"/>
  <c r="H30" i="2"/>
  <c r="G30" i="2"/>
  <c r="F30" i="2"/>
  <c r="E30" i="2"/>
  <c r="E36" i="2" s="1"/>
  <c r="E42" i="2" s="1"/>
  <c r="E54" i="2" s="1"/>
  <c r="D30" i="2"/>
  <c r="C30" i="2"/>
  <c r="C36" i="2" s="1"/>
  <c r="C42" i="2" s="1"/>
  <c r="C54" i="2" s="1"/>
  <c r="J29" i="2"/>
  <c r="I29" i="2"/>
  <c r="H29" i="2"/>
  <c r="G29" i="2"/>
  <c r="F29" i="2"/>
  <c r="E29" i="2"/>
  <c r="E35" i="2" s="1"/>
  <c r="E41" i="2" s="1"/>
  <c r="E53" i="2" s="1"/>
  <c r="D29" i="2"/>
  <c r="C29" i="2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E33" i="2" s="1"/>
  <c r="E39" i="2" s="1"/>
  <c r="E51" i="2" s="1"/>
  <c r="D27" i="2"/>
  <c r="C27" i="2"/>
  <c r="J25" i="2"/>
  <c r="I25" i="2"/>
  <c r="I63" i="2" s="1"/>
  <c r="H25" i="2"/>
  <c r="G25" i="2"/>
  <c r="G49" i="2" s="1"/>
  <c r="F25" i="2"/>
  <c r="E25" i="2"/>
  <c r="D25" i="2"/>
  <c r="C25" i="2"/>
  <c r="C49" i="2" s="1"/>
  <c r="J24" i="2"/>
  <c r="I24" i="2"/>
  <c r="H24" i="2"/>
  <c r="H48" i="2" s="1"/>
  <c r="G24" i="2"/>
  <c r="G48" i="2" s="1"/>
  <c r="F24" i="2"/>
  <c r="F48" i="2" s="1"/>
  <c r="E24" i="2"/>
  <c r="D24" i="2"/>
  <c r="D48" i="2" s="1"/>
  <c r="C24" i="2"/>
  <c r="C48" i="2" s="1"/>
  <c r="J23" i="2"/>
  <c r="I23" i="2"/>
  <c r="H23" i="2"/>
  <c r="G23" i="2"/>
  <c r="G47" i="2" s="1"/>
  <c r="F23" i="2"/>
  <c r="F47" i="2" s="1"/>
  <c r="E23" i="2"/>
  <c r="E47" i="2" s="1"/>
  <c r="D23" i="2"/>
  <c r="D47" i="2" s="1"/>
  <c r="C23" i="2"/>
  <c r="C47" i="2" s="1"/>
  <c r="J22" i="2"/>
  <c r="I22" i="2"/>
  <c r="I34" i="2" s="1"/>
  <c r="I40" i="2" s="1"/>
  <c r="H22" i="2"/>
  <c r="H46" i="2" s="1"/>
  <c r="G22" i="2"/>
  <c r="G46" i="2" s="1"/>
  <c r="F22" i="2"/>
  <c r="F34" i="2" s="1"/>
  <c r="F40" i="2" s="1"/>
  <c r="E22" i="2"/>
  <c r="E46" i="2" s="1"/>
  <c r="D22" i="2"/>
  <c r="D34" i="2" s="1"/>
  <c r="D40" i="2" s="1"/>
  <c r="C22" i="2"/>
  <c r="C46" i="2" s="1"/>
  <c r="J21" i="2"/>
  <c r="J45" i="2" s="1"/>
  <c r="I21" i="2"/>
  <c r="I45" i="2" s="1"/>
  <c r="H21" i="2"/>
  <c r="H45" i="2" s="1"/>
  <c r="G21" i="2"/>
  <c r="F21" i="2"/>
  <c r="F45" i="2" s="1"/>
  <c r="E21" i="2"/>
  <c r="E45" i="2" s="1"/>
  <c r="D21" i="2"/>
  <c r="D45" i="2" s="1"/>
  <c r="C21" i="2"/>
  <c r="C45" i="2" s="1"/>
  <c r="B37" i="1"/>
  <c r="B38" i="1" s="1"/>
  <c r="B30" i="1"/>
  <c r="I16" i="2" s="1"/>
  <c r="B29" i="1"/>
  <c r="J16" i="4" s="1"/>
  <c r="B28" i="1"/>
  <c r="I16" i="4" s="1"/>
  <c r="B23" i="1"/>
  <c r="B26" i="1" s="1"/>
  <c r="B14" i="1"/>
  <c r="C75" i="4" l="1"/>
  <c r="C81" i="4" s="1"/>
  <c r="C87" i="4"/>
  <c r="C64" i="4"/>
  <c r="G55" i="3"/>
  <c r="G64" i="4"/>
  <c r="G88" i="4" s="1"/>
  <c r="G75" i="4"/>
  <c r="G81" i="4" s="1"/>
  <c r="G87" i="4"/>
  <c r="E55" i="3"/>
  <c r="F75" i="4"/>
  <c r="F81" i="4" s="1"/>
  <c r="F64" i="4"/>
  <c r="F65" i="4" s="1"/>
  <c r="F87" i="4"/>
  <c r="F93" i="4" s="1"/>
  <c r="I64" i="2"/>
  <c r="I87" i="2"/>
  <c r="I75" i="2"/>
  <c r="I81" i="2" s="1"/>
  <c r="I93" i="2" s="1"/>
  <c r="J51" i="3"/>
  <c r="J57" i="3" s="1"/>
  <c r="F55" i="3"/>
  <c r="I52" i="2"/>
  <c r="I58" i="2" s="1"/>
  <c r="D46" i="2"/>
  <c r="D52" i="2" s="1"/>
  <c r="D58" i="2" s="1"/>
  <c r="C24" i="7"/>
  <c r="C35" i="7" s="1"/>
  <c r="C46" i="7" s="1"/>
  <c r="J34" i="2"/>
  <c r="J40" i="2" s="1"/>
  <c r="F46" i="2"/>
  <c r="F52" i="2" s="1"/>
  <c r="D64" i="2"/>
  <c r="D76" i="2" s="1"/>
  <c r="D82" i="2" s="1"/>
  <c r="J34" i="3"/>
  <c r="J40" i="3" s="1"/>
  <c r="J52" i="3" s="1"/>
  <c r="D11" i="5"/>
  <c r="D12" i="5" s="1"/>
  <c r="C35" i="3"/>
  <c r="C41" i="3" s="1"/>
  <c r="I37" i="3"/>
  <c r="I43" i="3" s="1"/>
  <c r="I33" i="3"/>
  <c r="I39" i="3" s="1"/>
  <c r="I51" i="3" s="1"/>
  <c r="D34" i="7"/>
  <c r="D45" i="7" s="1"/>
  <c r="H37" i="3"/>
  <c r="H43" i="3" s="1"/>
  <c r="H33" i="3"/>
  <c r="H39" i="3" s="1"/>
  <c r="H51" i="3" s="1"/>
  <c r="C34" i="4"/>
  <c r="C40" i="4" s="1"/>
  <c r="C52" i="4" s="1"/>
  <c r="J49" i="4"/>
  <c r="J55" i="4" s="1"/>
  <c r="J61" i="4" s="1"/>
  <c r="C34" i="2"/>
  <c r="C40" i="2" s="1"/>
  <c r="C52" i="2" s="1"/>
  <c r="J33" i="3"/>
  <c r="J39" i="3" s="1"/>
  <c r="F49" i="3"/>
  <c r="D34" i="4"/>
  <c r="D40" i="4" s="1"/>
  <c r="D52" i="4" s="1"/>
  <c r="C25" i="7"/>
  <c r="C36" i="7" s="1"/>
  <c r="C47" i="7" s="1"/>
  <c r="I46" i="2"/>
  <c r="C34" i="3"/>
  <c r="C40" i="3" s="1"/>
  <c r="C52" i="3" s="1"/>
  <c r="I37" i="4"/>
  <c r="I43" i="4" s="1"/>
  <c r="I55" i="4" s="1"/>
  <c r="C63" i="2"/>
  <c r="C75" i="2" s="1"/>
  <c r="C81" i="2" s="1"/>
  <c r="G34" i="4"/>
  <c r="G40" i="4" s="1"/>
  <c r="G52" i="4" s="1"/>
  <c r="C53" i="3"/>
  <c r="G33" i="3"/>
  <c r="G39" i="3" s="1"/>
  <c r="G51" i="3" s="1"/>
  <c r="C37" i="7"/>
  <c r="C48" i="7" s="1"/>
  <c r="J57" i="4"/>
  <c r="I54" i="2"/>
  <c r="I52" i="3"/>
  <c r="H76" i="3"/>
  <c r="H82" i="3" s="1"/>
  <c r="H94" i="3" s="1"/>
  <c r="G48" i="4"/>
  <c r="G54" i="4" s="1"/>
  <c r="H37" i="2"/>
  <c r="H43" i="2" s="1"/>
  <c r="I49" i="3"/>
  <c r="D54" i="3"/>
  <c r="D60" i="3" s="1"/>
  <c r="I51" i="4"/>
  <c r="I57" i="4" s="1"/>
  <c r="C33" i="7"/>
  <c r="C44" i="7" s="1"/>
  <c r="D33" i="7"/>
  <c r="D44" i="7" s="1"/>
  <c r="H75" i="3"/>
  <c r="H81" i="3" s="1"/>
  <c r="H65" i="3"/>
  <c r="H34" i="2"/>
  <c r="H40" i="2" s="1"/>
  <c r="H52" i="2" s="1"/>
  <c r="H58" i="2" s="1"/>
  <c r="H16" i="4"/>
  <c r="H58" i="4" s="1"/>
  <c r="G35" i="2"/>
  <c r="G41" i="2" s="1"/>
  <c r="G53" i="2" s="1"/>
  <c r="F36" i="3"/>
  <c r="F42" i="3" s="1"/>
  <c r="F54" i="3" s="1"/>
  <c r="J33" i="2"/>
  <c r="J39" i="2" s="1"/>
  <c r="J51" i="2" s="1"/>
  <c r="C55" i="3"/>
  <c r="J36" i="3"/>
  <c r="J42" i="3" s="1"/>
  <c r="J54" i="3" s="1"/>
  <c r="G34" i="2"/>
  <c r="G40" i="2" s="1"/>
  <c r="G52" i="2" s="1"/>
  <c r="D35" i="7"/>
  <c r="D46" i="7" s="1"/>
  <c r="J46" i="2"/>
  <c r="D34" i="3"/>
  <c r="D40" i="3" s="1"/>
  <c r="D52" i="3" s="1"/>
  <c r="H49" i="3"/>
  <c r="H55" i="3" s="1"/>
  <c r="H61" i="3" s="1"/>
  <c r="E16" i="4"/>
  <c r="G16" i="4"/>
  <c r="E63" i="4"/>
  <c r="H33" i="2"/>
  <c r="H39" i="2" s="1"/>
  <c r="H51" i="2" s="1"/>
  <c r="H36" i="2"/>
  <c r="H42" i="2" s="1"/>
  <c r="H54" i="2" s="1"/>
  <c r="H60" i="2" s="1"/>
  <c r="F36" i="4"/>
  <c r="F42" i="4" s="1"/>
  <c r="F54" i="4" s="1"/>
  <c r="F60" i="4" s="1"/>
  <c r="I63" i="4"/>
  <c r="F36" i="2"/>
  <c r="F42" i="2" s="1"/>
  <c r="G36" i="3"/>
  <c r="G42" i="3" s="1"/>
  <c r="G54" i="3" s="1"/>
  <c r="G60" i="3" s="1"/>
  <c r="J93" i="2"/>
  <c r="I107" i="2"/>
  <c r="C104" i="4"/>
  <c r="J104" i="4"/>
  <c r="J107" i="4" s="1"/>
  <c r="G104" i="3"/>
  <c r="D104" i="2"/>
  <c r="I104" i="4"/>
  <c r="H104" i="4"/>
  <c r="E104" i="3"/>
  <c r="G104" i="4"/>
  <c r="G58" i="4" s="1"/>
  <c r="D104" i="3"/>
  <c r="F104" i="4"/>
  <c r="C104" i="3"/>
  <c r="D104" i="4"/>
  <c r="I104" i="3"/>
  <c r="H104" i="3"/>
  <c r="J104" i="3"/>
  <c r="I104" i="2"/>
  <c r="I60" i="2" s="1"/>
  <c r="F104" i="3"/>
  <c r="C104" i="2"/>
  <c r="F104" i="2"/>
  <c r="J104" i="2"/>
  <c r="E104" i="2"/>
  <c r="E104" i="4"/>
  <c r="H104" i="2"/>
  <c r="G104" i="2"/>
  <c r="H64" i="2"/>
  <c r="H87" i="2"/>
  <c r="F16" i="3"/>
  <c r="J87" i="3"/>
  <c r="J64" i="3"/>
  <c r="D37" i="7"/>
  <c r="D48" i="7" s="1"/>
  <c r="D27" i="7"/>
  <c r="F16" i="4"/>
  <c r="E34" i="2"/>
  <c r="E40" i="2" s="1"/>
  <c r="E52" i="2" s="1"/>
  <c r="G36" i="2"/>
  <c r="G42" i="2" s="1"/>
  <c r="G54" i="2" s="1"/>
  <c r="G16" i="3"/>
  <c r="E35" i="3"/>
  <c r="E41" i="3" s="1"/>
  <c r="E47" i="3"/>
  <c r="J75" i="3"/>
  <c r="J81" i="3" s="1"/>
  <c r="E45" i="4"/>
  <c r="E33" i="4"/>
  <c r="E39" i="4" s="1"/>
  <c r="E51" i="4" s="1"/>
  <c r="E57" i="4" s="1"/>
  <c r="C48" i="4"/>
  <c r="C36" i="4"/>
  <c r="C42" i="4" s="1"/>
  <c r="E37" i="7"/>
  <c r="E48" i="7" s="1"/>
  <c r="E27" i="7"/>
  <c r="I35" i="3"/>
  <c r="I41" i="3" s="1"/>
  <c r="I47" i="3"/>
  <c r="I107" i="4"/>
  <c r="E37" i="2"/>
  <c r="E43" i="2" s="1"/>
  <c r="E63" i="2"/>
  <c r="E48" i="4"/>
  <c r="E36" i="4"/>
  <c r="E42" i="4" s="1"/>
  <c r="E54" i="4" s="1"/>
  <c r="E16" i="2"/>
  <c r="E57" i="2" s="1"/>
  <c r="G37" i="2"/>
  <c r="G43" i="2" s="1"/>
  <c r="G55" i="2" s="1"/>
  <c r="C75" i="3"/>
  <c r="C81" i="3" s="1"/>
  <c r="C64" i="3"/>
  <c r="F16" i="2"/>
  <c r="D35" i="3"/>
  <c r="D41" i="3" s="1"/>
  <c r="D53" i="3" s="1"/>
  <c r="H35" i="3"/>
  <c r="H41" i="3" s="1"/>
  <c r="H53" i="3" s="1"/>
  <c r="E64" i="3"/>
  <c r="E75" i="3"/>
  <c r="E81" i="3" s="1"/>
  <c r="F87" i="3"/>
  <c r="F75" i="3"/>
  <c r="F81" i="3" s="1"/>
  <c r="F93" i="3" s="1"/>
  <c r="F64" i="3"/>
  <c r="F53" i="4"/>
  <c r="H35" i="4"/>
  <c r="H41" i="4" s="1"/>
  <c r="H47" i="4"/>
  <c r="I47" i="4"/>
  <c r="I35" i="4"/>
  <c r="I41" i="4" s="1"/>
  <c r="I53" i="4" s="1"/>
  <c r="H16" i="3"/>
  <c r="H107" i="3" s="1"/>
  <c r="F37" i="2"/>
  <c r="F43" i="2" s="1"/>
  <c r="F63" i="2"/>
  <c r="D35" i="2"/>
  <c r="D41" i="2" s="1"/>
  <c r="D53" i="2" s="1"/>
  <c r="F33" i="2"/>
  <c r="F39" i="2" s="1"/>
  <c r="F51" i="2" s="1"/>
  <c r="H16" i="2"/>
  <c r="H107" i="2" s="1"/>
  <c r="F35" i="2"/>
  <c r="F41" i="2" s="1"/>
  <c r="F53" i="2" s="1"/>
  <c r="E49" i="2"/>
  <c r="J35" i="3"/>
  <c r="J41" i="3" s="1"/>
  <c r="J53" i="3" s="1"/>
  <c r="G87" i="3"/>
  <c r="G75" i="3"/>
  <c r="G81" i="3" s="1"/>
  <c r="G93" i="3" s="1"/>
  <c r="G99" i="3" s="1"/>
  <c r="G64" i="3"/>
  <c r="D75" i="4"/>
  <c r="D81" i="4" s="1"/>
  <c r="D87" i="4"/>
  <c r="D64" i="4"/>
  <c r="E47" i="4"/>
  <c r="G47" i="4"/>
  <c r="G53" i="4" s="1"/>
  <c r="F54" i="2"/>
  <c r="J64" i="2"/>
  <c r="J87" i="2"/>
  <c r="F47" i="3"/>
  <c r="F35" i="3"/>
  <c r="F41" i="3" s="1"/>
  <c r="F53" i="3" s="1"/>
  <c r="J16" i="3"/>
  <c r="J58" i="3" s="1"/>
  <c r="D45" i="3"/>
  <c r="D33" i="3"/>
  <c r="D39" i="3" s="1"/>
  <c r="D51" i="3" s="1"/>
  <c r="D64" i="3"/>
  <c r="D87" i="3"/>
  <c r="D93" i="3" s="1"/>
  <c r="I33" i="2"/>
  <c r="I39" i="2" s="1"/>
  <c r="I51" i="2" s="1"/>
  <c r="I57" i="2" s="1"/>
  <c r="G65" i="4"/>
  <c r="G76" i="4"/>
  <c r="G82" i="4" s="1"/>
  <c r="G94" i="4" s="1"/>
  <c r="C38" i="7"/>
  <c r="C49" i="7" s="1"/>
  <c r="C28" i="7"/>
  <c r="G87" i="2"/>
  <c r="G75" i="2"/>
  <c r="G81" i="2" s="1"/>
  <c r="G93" i="2" s="1"/>
  <c r="E16" i="3"/>
  <c r="E58" i="3" s="1"/>
  <c r="D16" i="3"/>
  <c r="D48" i="4"/>
  <c r="D36" i="4"/>
  <c r="D42" i="4" s="1"/>
  <c r="D54" i="4" s="1"/>
  <c r="G47" i="3"/>
  <c r="G35" i="3"/>
  <c r="G41" i="3" s="1"/>
  <c r="G53" i="3" s="1"/>
  <c r="G59" i="3" s="1"/>
  <c r="F55" i="4"/>
  <c r="I37" i="2"/>
  <c r="I43" i="2" s="1"/>
  <c r="J37" i="2"/>
  <c r="J43" i="2" s="1"/>
  <c r="F49" i="2"/>
  <c r="J16" i="2"/>
  <c r="H47" i="2"/>
  <c r="H35" i="2"/>
  <c r="H41" i="2" s="1"/>
  <c r="E36" i="3"/>
  <c r="E42" i="3" s="1"/>
  <c r="E54" i="3" s="1"/>
  <c r="I87" i="3"/>
  <c r="I75" i="3"/>
  <c r="I81" i="3" s="1"/>
  <c r="I64" i="3"/>
  <c r="H76" i="4"/>
  <c r="H82" i="4" s="1"/>
  <c r="H65" i="4"/>
  <c r="H88" i="4"/>
  <c r="E61" i="4"/>
  <c r="H49" i="2"/>
  <c r="H55" i="2" s="1"/>
  <c r="H61" i="2" s="1"/>
  <c r="C87" i="3"/>
  <c r="H33" i="4"/>
  <c r="H39" i="4" s="1"/>
  <c r="H51" i="4" s="1"/>
  <c r="I64" i="4"/>
  <c r="I87" i="4"/>
  <c r="I75" i="4"/>
  <c r="I81" i="4" s="1"/>
  <c r="I93" i="4" s="1"/>
  <c r="E53" i="4"/>
  <c r="E59" i="4" s="1"/>
  <c r="G93" i="4"/>
  <c r="G45" i="4"/>
  <c r="G33" i="4"/>
  <c r="G39" i="4" s="1"/>
  <c r="G51" i="4" s="1"/>
  <c r="G57" i="4" s="1"/>
  <c r="J64" i="4"/>
  <c r="J87" i="4"/>
  <c r="J75" i="4"/>
  <c r="J81" i="4" s="1"/>
  <c r="F47" i="4"/>
  <c r="B38" i="7"/>
  <c r="B49" i="7" s="1"/>
  <c r="B28" i="7"/>
  <c r="D36" i="2"/>
  <c r="D42" i="2" s="1"/>
  <c r="D54" i="2" s="1"/>
  <c r="C45" i="4"/>
  <c r="C33" i="4"/>
  <c r="C39" i="4" s="1"/>
  <c r="C51" i="4" s="1"/>
  <c r="F45" i="4"/>
  <c r="F33" i="4"/>
  <c r="F39" i="4" s="1"/>
  <c r="F51" i="4" s="1"/>
  <c r="I16" i="3"/>
  <c r="I107" i="3" s="1"/>
  <c r="D65" i="2"/>
  <c r="D88" i="2"/>
  <c r="D94" i="2" s="1"/>
  <c r="C16" i="2"/>
  <c r="C60" i="2" s="1"/>
  <c r="C37" i="2"/>
  <c r="C43" i="2" s="1"/>
  <c r="C55" i="2" s="1"/>
  <c r="G64" i="2"/>
  <c r="C45" i="3"/>
  <c r="C33" i="3"/>
  <c r="C39" i="3" s="1"/>
  <c r="D16" i="2"/>
  <c r="D57" i="2" s="1"/>
  <c r="F52" i="3"/>
  <c r="C35" i="2"/>
  <c r="C41" i="2" s="1"/>
  <c r="C53" i="2" s="1"/>
  <c r="G16" i="2"/>
  <c r="I35" i="2"/>
  <c r="I41" i="2" s="1"/>
  <c r="I47" i="2"/>
  <c r="J47" i="2"/>
  <c r="J35" i="2"/>
  <c r="J41" i="2" s="1"/>
  <c r="J53" i="2" s="1"/>
  <c r="I49" i="2"/>
  <c r="E87" i="3"/>
  <c r="J49" i="2"/>
  <c r="H75" i="2"/>
  <c r="H81" i="2" s="1"/>
  <c r="H93" i="2" s="1"/>
  <c r="H99" i="2" s="1"/>
  <c r="H87" i="3"/>
  <c r="C35" i="4"/>
  <c r="C41" i="4" s="1"/>
  <c r="C47" i="4"/>
  <c r="C65" i="4"/>
  <c r="C88" i="4"/>
  <c r="C76" i="4"/>
  <c r="C82" i="4" s="1"/>
  <c r="D45" i="4"/>
  <c r="D33" i="4"/>
  <c r="D39" i="4" s="1"/>
  <c r="J47" i="4"/>
  <c r="J35" i="4"/>
  <c r="J41" i="4" s="1"/>
  <c r="J53" i="4" s="1"/>
  <c r="C36" i="3"/>
  <c r="C42" i="3" s="1"/>
  <c r="C54" i="3" s="1"/>
  <c r="J52" i="4"/>
  <c r="E35" i="7"/>
  <c r="E46" i="7" s="1"/>
  <c r="D75" i="2"/>
  <c r="D81" i="2" s="1"/>
  <c r="D93" i="2" s="1"/>
  <c r="B31" i="1"/>
  <c r="E33" i="3"/>
  <c r="E39" i="3" s="1"/>
  <c r="E51" i="3" s="1"/>
  <c r="H75" i="4"/>
  <c r="H81" i="4" s="1"/>
  <c r="C16" i="4"/>
  <c r="D16" i="4"/>
  <c r="E22" i="7"/>
  <c r="E33" i="7" s="1"/>
  <c r="E44" i="7" s="1"/>
  <c r="C16" i="3"/>
  <c r="C59" i="3" s="1"/>
  <c r="D49" i="4"/>
  <c r="D55" i="4" s="1"/>
  <c r="D61" i="4" s="1"/>
  <c r="E23" i="7"/>
  <c r="E34" i="7" s="1"/>
  <c r="E45" i="7" s="1"/>
  <c r="H87" i="4"/>
  <c r="D25" i="7"/>
  <c r="D36" i="7" s="1"/>
  <c r="D47" i="7" s="1"/>
  <c r="E25" i="7"/>
  <c r="E36" i="7" s="1"/>
  <c r="E47" i="7" s="1"/>
  <c r="I55" i="3" l="1"/>
  <c r="J99" i="2"/>
  <c r="I60" i="3"/>
  <c r="F99" i="3"/>
  <c r="E75" i="4"/>
  <c r="E81" i="4" s="1"/>
  <c r="E87" i="4"/>
  <c r="E64" i="4"/>
  <c r="H57" i="4"/>
  <c r="F60" i="3"/>
  <c r="E61" i="3"/>
  <c r="C54" i="4"/>
  <c r="H60" i="4"/>
  <c r="H77" i="3"/>
  <c r="H83" i="3" s="1"/>
  <c r="H95" i="3" s="1"/>
  <c r="H89" i="3"/>
  <c r="H66" i="3"/>
  <c r="H93" i="3"/>
  <c r="H99" i="3" s="1"/>
  <c r="I88" i="2"/>
  <c r="I76" i="2"/>
  <c r="I82" i="2" s="1"/>
  <c r="I94" i="2" s="1"/>
  <c r="I100" i="2" s="1"/>
  <c r="C61" i="2"/>
  <c r="C64" i="2"/>
  <c r="C65" i="2" s="1"/>
  <c r="C99" i="4"/>
  <c r="C61" i="3"/>
  <c r="F76" i="4"/>
  <c r="F82" i="4" s="1"/>
  <c r="D61" i="2"/>
  <c r="F57" i="4"/>
  <c r="E57" i="3"/>
  <c r="G100" i="4"/>
  <c r="G59" i="2"/>
  <c r="F88" i="4"/>
  <c r="E60" i="3"/>
  <c r="J59" i="3"/>
  <c r="H59" i="3"/>
  <c r="J61" i="3"/>
  <c r="D100" i="2"/>
  <c r="D58" i="4"/>
  <c r="F58" i="4"/>
  <c r="D99" i="3"/>
  <c r="G58" i="2"/>
  <c r="J93" i="4"/>
  <c r="J99" i="4" s="1"/>
  <c r="F58" i="2"/>
  <c r="C93" i="4"/>
  <c r="D57" i="3"/>
  <c r="I58" i="3"/>
  <c r="H53" i="4"/>
  <c r="H59" i="4" s="1"/>
  <c r="C87" i="2"/>
  <c r="C93" i="2" s="1"/>
  <c r="C99" i="2" s="1"/>
  <c r="E60" i="2"/>
  <c r="I61" i="4"/>
  <c r="J107" i="2"/>
  <c r="D51" i="4"/>
  <c r="I65" i="2"/>
  <c r="F57" i="2"/>
  <c r="C93" i="3"/>
  <c r="G57" i="3"/>
  <c r="J52" i="2"/>
  <c r="C89" i="4"/>
  <c r="C66" i="4"/>
  <c r="C77" i="4"/>
  <c r="C83" i="4" s="1"/>
  <c r="D65" i="3"/>
  <c r="D76" i="3"/>
  <c r="D82" i="3" s="1"/>
  <c r="D88" i="3"/>
  <c r="F57" i="3"/>
  <c r="E59" i="2"/>
  <c r="H93" i="4"/>
  <c r="H99" i="4" s="1"/>
  <c r="G99" i="4"/>
  <c r="J55" i="2"/>
  <c r="J61" i="2" s="1"/>
  <c r="J107" i="3"/>
  <c r="F59" i="2"/>
  <c r="E65" i="3"/>
  <c r="E88" i="3"/>
  <c r="E76" i="3"/>
  <c r="E82" i="3" s="1"/>
  <c r="E94" i="3" s="1"/>
  <c r="E100" i="3" s="1"/>
  <c r="J60" i="4"/>
  <c r="F61" i="3"/>
  <c r="J60" i="2"/>
  <c r="F59" i="4"/>
  <c r="I53" i="3"/>
  <c r="I59" i="3" s="1"/>
  <c r="G59" i="4"/>
  <c r="E38" i="7"/>
  <c r="E49" i="7" s="1"/>
  <c r="E28" i="7"/>
  <c r="I55" i="2"/>
  <c r="I61" i="2" s="1"/>
  <c r="J57" i="2"/>
  <c r="D59" i="4"/>
  <c r="C57" i="4"/>
  <c r="J76" i="2"/>
  <c r="J82" i="2" s="1"/>
  <c r="J65" i="2"/>
  <c r="J88" i="2"/>
  <c r="D59" i="2"/>
  <c r="H61" i="4"/>
  <c r="I58" i="4"/>
  <c r="C58" i="2"/>
  <c r="J58" i="4"/>
  <c r="H57" i="3"/>
  <c r="I88" i="4"/>
  <c r="I65" i="4"/>
  <c r="I76" i="4"/>
  <c r="I82" i="4" s="1"/>
  <c r="F60" i="2"/>
  <c r="H60" i="3"/>
  <c r="H57" i="2"/>
  <c r="C57" i="2"/>
  <c r="G58" i="3"/>
  <c r="D60" i="2"/>
  <c r="D60" i="4"/>
  <c r="F75" i="2"/>
  <c r="F81" i="2" s="1"/>
  <c r="F64" i="2"/>
  <c r="F87" i="2"/>
  <c r="C99" i="3"/>
  <c r="I61" i="3"/>
  <c r="G57" i="2"/>
  <c r="H100" i="3"/>
  <c r="G77" i="4"/>
  <c r="G83" i="4" s="1"/>
  <c r="G66" i="4"/>
  <c r="G89" i="4"/>
  <c r="J88" i="3"/>
  <c r="J76" i="3"/>
  <c r="J82" i="3" s="1"/>
  <c r="J65" i="3"/>
  <c r="H53" i="2"/>
  <c r="H59" i="2" s="1"/>
  <c r="D77" i="2"/>
  <c r="D83" i="2" s="1"/>
  <c r="D66" i="2"/>
  <c r="D89" i="2"/>
  <c r="I77" i="2"/>
  <c r="I83" i="2" s="1"/>
  <c r="I66" i="2"/>
  <c r="I89" i="2"/>
  <c r="H88" i="2"/>
  <c r="H65" i="2"/>
  <c r="H76" i="2"/>
  <c r="H82" i="2" s="1"/>
  <c r="H94" i="2" s="1"/>
  <c r="H100" i="2" s="1"/>
  <c r="D59" i="3"/>
  <c r="D99" i="2"/>
  <c r="J59" i="2"/>
  <c r="I99" i="4"/>
  <c r="F61" i="4"/>
  <c r="C60" i="4"/>
  <c r="C65" i="3"/>
  <c r="C88" i="3"/>
  <c r="C76" i="3"/>
  <c r="C82" i="3" s="1"/>
  <c r="C94" i="3" s="1"/>
  <c r="C100" i="3" s="1"/>
  <c r="I53" i="2"/>
  <c r="I59" i="2" s="1"/>
  <c r="C60" i="3"/>
  <c r="B29" i="7"/>
  <c r="B39" i="7"/>
  <c r="B50" i="7" s="1"/>
  <c r="F55" i="2"/>
  <c r="F61" i="2" s="1"/>
  <c r="G61" i="2"/>
  <c r="J93" i="3"/>
  <c r="J99" i="3" s="1"/>
  <c r="I99" i="2"/>
  <c r="G88" i="2"/>
  <c r="G65" i="2"/>
  <c r="G76" i="2"/>
  <c r="G82" i="2" s="1"/>
  <c r="G94" i="2" s="1"/>
  <c r="G100" i="2" s="1"/>
  <c r="F77" i="4"/>
  <c r="F83" i="4" s="1"/>
  <c r="F66" i="4"/>
  <c r="F89" i="4"/>
  <c r="D93" i="4"/>
  <c r="D99" i="4" s="1"/>
  <c r="F88" i="3"/>
  <c r="F65" i="3"/>
  <c r="F76" i="3"/>
  <c r="F82" i="3" s="1"/>
  <c r="F94" i="3" s="1"/>
  <c r="F100" i="3" s="1"/>
  <c r="J76" i="4"/>
  <c r="J82" i="4" s="1"/>
  <c r="J94" i="4" s="1"/>
  <c r="J100" i="4" s="1"/>
  <c r="J65" i="4"/>
  <c r="J88" i="4"/>
  <c r="H107" i="4"/>
  <c r="I60" i="4"/>
  <c r="J59" i="4"/>
  <c r="G61" i="4"/>
  <c r="E60" i="4"/>
  <c r="I57" i="3"/>
  <c r="D57" i="4"/>
  <c r="F58" i="3"/>
  <c r="H77" i="4"/>
  <c r="H83" i="4" s="1"/>
  <c r="H89" i="4"/>
  <c r="H66" i="4"/>
  <c r="H94" i="4"/>
  <c r="H100" i="4" s="1"/>
  <c r="C58" i="4"/>
  <c r="E58" i="2"/>
  <c r="H101" i="3"/>
  <c r="C94" i="4"/>
  <c r="C100" i="4" s="1"/>
  <c r="C51" i="3"/>
  <c r="C57" i="3" s="1"/>
  <c r="G61" i="3"/>
  <c r="I88" i="3"/>
  <c r="I76" i="3"/>
  <c r="I82" i="3" s="1"/>
  <c r="I94" i="3" s="1"/>
  <c r="I100" i="3" s="1"/>
  <c r="I65" i="3"/>
  <c r="C29" i="7"/>
  <c r="C39" i="7"/>
  <c r="C50" i="7" s="1"/>
  <c r="F99" i="4"/>
  <c r="E64" i="2"/>
  <c r="E75" i="2"/>
  <c r="E81" i="2" s="1"/>
  <c r="E87" i="2"/>
  <c r="J58" i="2"/>
  <c r="J60" i="3"/>
  <c r="C53" i="4"/>
  <c r="C59" i="4" s="1"/>
  <c r="G65" i="3"/>
  <c r="G88" i="3"/>
  <c r="G76" i="3"/>
  <c r="G82" i="3" s="1"/>
  <c r="G94" i="3" s="1"/>
  <c r="G100" i="3" s="1"/>
  <c r="G60" i="4"/>
  <c r="C58" i="3"/>
  <c r="E93" i="3"/>
  <c r="E99" i="3" s="1"/>
  <c r="F59" i="3"/>
  <c r="C59" i="2"/>
  <c r="D61" i="3"/>
  <c r="E53" i="3"/>
  <c r="E59" i="3" s="1"/>
  <c r="D58" i="3"/>
  <c r="C61" i="4"/>
  <c r="E58" i="4"/>
  <c r="G99" i="2"/>
  <c r="I59" i="4"/>
  <c r="G60" i="2"/>
  <c r="H58" i="3"/>
  <c r="F94" i="4"/>
  <c r="F100" i="4" s="1"/>
  <c r="I93" i="3"/>
  <c r="I99" i="3" s="1"/>
  <c r="D88" i="4"/>
  <c r="D76" i="4"/>
  <c r="D82" i="4" s="1"/>
  <c r="D94" i="4" s="1"/>
  <c r="D100" i="4" s="1"/>
  <c r="D65" i="4"/>
  <c r="E55" i="2"/>
  <c r="E61" i="2" s="1"/>
  <c r="D38" i="7"/>
  <c r="D49" i="7" s="1"/>
  <c r="D28" i="7"/>
  <c r="C76" i="2" l="1"/>
  <c r="C82" i="2" s="1"/>
  <c r="J94" i="2"/>
  <c r="J100" i="2" s="1"/>
  <c r="C88" i="2"/>
  <c r="E88" i="4"/>
  <c r="E76" i="4"/>
  <c r="E82" i="4" s="1"/>
  <c r="E94" i="4" s="1"/>
  <c r="E100" i="4" s="1"/>
  <c r="E65" i="4"/>
  <c r="E93" i="4"/>
  <c r="E99" i="4" s="1"/>
  <c r="H90" i="3"/>
  <c r="H67" i="3"/>
  <c r="H78" i="3"/>
  <c r="H84" i="3" s="1"/>
  <c r="C94" i="2"/>
  <c r="C100" i="2" s="1"/>
  <c r="F95" i="4"/>
  <c r="F101" i="4" s="1"/>
  <c r="G95" i="4"/>
  <c r="G101" i="4" s="1"/>
  <c r="H95" i="4"/>
  <c r="H101" i="4" s="1"/>
  <c r="E93" i="2"/>
  <c r="E99" i="2" s="1"/>
  <c r="E88" i="2"/>
  <c r="E76" i="2"/>
  <c r="E82" i="2" s="1"/>
  <c r="E94" i="2" s="1"/>
  <c r="E100" i="2" s="1"/>
  <c r="E65" i="2"/>
  <c r="I90" i="2"/>
  <c r="I78" i="2"/>
  <c r="I84" i="2" s="1"/>
  <c r="I96" i="2" s="1"/>
  <c r="I102" i="2" s="1"/>
  <c r="I67" i="2"/>
  <c r="I95" i="2"/>
  <c r="I101" i="2" s="1"/>
  <c r="F77" i="3"/>
  <c r="F83" i="3" s="1"/>
  <c r="F66" i="3"/>
  <c r="F89" i="3"/>
  <c r="G77" i="3"/>
  <c r="G83" i="3" s="1"/>
  <c r="G89" i="3"/>
  <c r="G66" i="3"/>
  <c r="C40" i="7"/>
  <c r="C51" i="7" s="1"/>
  <c r="C30" i="7"/>
  <c r="E29" i="7"/>
  <c r="E39" i="7"/>
  <c r="E50" i="7" s="1"/>
  <c r="D94" i="3"/>
  <c r="D100" i="3" s="1"/>
  <c r="G67" i="4"/>
  <c r="G90" i="4"/>
  <c r="G78" i="4"/>
  <c r="G84" i="4" s="1"/>
  <c r="G96" i="4" s="1"/>
  <c r="G102" i="4" s="1"/>
  <c r="H67" i="4"/>
  <c r="H90" i="4"/>
  <c r="H78" i="4"/>
  <c r="H84" i="4" s="1"/>
  <c r="H96" i="4" s="1"/>
  <c r="H102" i="4" s="1"/>
  <c r="G77" i="2"/>
  <c r="G83" i="2" s="1"/>
  <c r="G89" i="2"/>
  <c r="G66" i="2"/>
  <c r="D77" i="3"/>
  <c r="D83" i="3" s="1"/>
  <c r="D89" i="3"/>
  <c r="D66" i="3"/>
  <c r="B30" i="7"/>
  <c r="B40" i="7"/>
  <c r="B51" i="7" s="1"/>
  <c r="D78" i="2"/>
  <c r="D84" i="2" s="1"/>
  <c r="D67" i="2"/>
  <c r="D90" i="2"/>
  <c r="C95" i="4"/>
  <c r="C101" i="4" s="1"/>
  <c r="D95" i="2"/>
  <c r="D101" i="2" s="1"/>
  <c r="C78" i="4"/>
  <c r="C84" i="4" s="1"/>
  <c r="C67" i="4"/>
  <c r="C90" i="4"/>
  <c r="E77" i="3"/>
  <c r="E83" i="3" s="1"/>
  <c r="E66" i="3"/>
  <c r="E89" i="3"/>
  <c r="F67" i="4"/>
  <c r="F90" i="4"/>
  <c r="F78" i="4"/>
  <c r="F84" i="4" s="1"/>
  <c r="D29" i="7"/>
  <c r="D39" i="7"/>
  <c r="D50" i="7" s="1"/>
  <c r="J66" i="3"/>
  <c r="J77" i="3"/>
  <c r="J83" i="3" s="1"/>
  <c r="J89" i="3"/>
  <c r="I94" i="4"/>
  <c r="I100" i="4" s="1"/>
  <c r="D89" i="4"/>
  <c r="D66" i="4"/>
  <c r="D77" i="4"/>
  <c r="D83" i="4" s="1"/>
  <c r="D95" i="4" s="1"/>
  <c r="D101" i="4" s="1"/>
  <c r="C66" i="2"/>
  <c r="C89" i="2"/>
  <c r="C77" i="2"/>
  <c r="C83" i="2" s="1"/>
  <c r="J77" i="2"/>
  <c r="J83" i="2" s="1"/>
  <c r="J66" i="2"/>
  <c r="J89" i="2"/>
  <c r="H77" i="2"/>
  <c r="H83" i="2" s="1"/>
  <c r="H66" i="2"/>
  <c r="H89" i="2"/>
  <c r="F88" i="2"/>
  <c r="F65" i="2"/>
  <c r="F76" i="2"/>
  <c r="F82" i="2" s="1"/>
  <c r="F94" i="2" s="1"/>
  <c r="F100" i="2" s="1"/>
  <c r="F93" i="2"/>
  <c r="F99" i="2" s="1"/>
  <c r="I77" i="3"/>
  <c r="I83" i="3" s="1"/>
  <c r="I89" i="3"/>
  <c r="I66" i="3"/>
  <c r="J77" i="4"/>
  <c r="J83" i="4" s="1"/>
  <c r="J89" i="4"/>
  <c r="J66" i="4"/>
  <c r="C89" i="3"/>
  <c r="C77" i="3"/>
  <c r="C83" i="3" s="1"/>
  <c r="C66" i="3"/>
  <c r="J94" i="3"/>
  <c r="J100" i="3" s="1"/>
  <c r="I77" i="4"/>
  <c r="I83" i="4" s="1"/>
  <c r="I89" i="4"/>
  <c r="I66" i="4"/>
  <c r="G95" i="2" l="1"/>
  <c r="G101" i="2" s="1"/>
  <c r="F96" i="4"/>
  <c r="F102" i="4" s="1"/>
  <c r="H79" i="3"/>
  <c r="H85" i="3" s="1"/>
  <c r="H91" i="3"/>
  <c r="E89" i="4"/>
  <c r="E77" i="4"/>
  <c r="E83" i="4" s="1"/>
  <c r="E95" i="4" s="1"/>
  <c r="E101" i="4" s="1"/>
  <c r="E66" i="4"/>
  <c r="H96" i="3"/>
  <c r="H102" i="3" s="1"/>
  <c r="C95" i="2"/>
  <c r="C101" i="2" s="1"/>
  <c r="B31" i="7"/>
  <c r="B42" i="7" s="1"/>
  <c r="B41" i="7"/>
  <c r="B52" i="7" s="1"/>
  <c r="G78" i="3"/>
  <c r="G84" i="3" s="1"/>
  <c r="G67" i="3"/>
  <c r="G90" i="3"/>
  <c r="J90" i="4"/>
  <c r="J78" i="4"/>
  <c r="J84" i="4" s="1"/>
  <c r="J96" i="4" s="1"/>
  <c r="J102" i="4" s="1"/>
  <c r="J67" i="4"/>
  <c r="C31" i="7"/>
  <c r="C42" i="7" s="1"/>
  <c r="C41" i="7"/>
  <c r="C52" i="7" s="1"/>
  <c r="G67" i="2"/>
  <c r="G90" i="2"/>
  <c r="G78" i="2"/>
  <c r="G84" i="2" s="1"/>
  <c r="G96" i="2" s="1"/>
  <c r="G102" i="2" s="1"/>
  <c r="D96" i="2"/>
  <c r="D102" i="2" s="1"/>
  <c r="D40" i="7"/>
  <c r="D51" i="7" s="1"/>
  <c r="D30" i="7"/>
  <c r="F95" i="3"/>
  <c r="F101" i="3" s="1"/>
  <c r="F77" i="2"/>
  <c r="F83" i="2" s="1"/>
  <c r="F66" i="2"/>
  <c r="F89" i="2"/>
  <c r="C67" i="2"/>
  <c r="C78" i="2"/>
  <c r="C84" i="2" s="1"/>
  <c r="C96" i="2" s="1"/>
  <c r="C102" i="2" s="1"/>
  <c r="C90" i="2"/>
  <c r="D91" i="2"/>
  <c r="D79" i="2"/>
  <c r="D85" i="2" s="1"/>
  <c r="D97" i="2" s="1"/>
  <c r="J95" i="3"/>
  <c r="J101" i="3" s="1"/>
  <c r="I95" i="3"/>
  <c r="I101" i="3" s="1"/>
  <c r="H67" i="2"/>
  <c r="H90" i="2"/>
  <c r="H78" i="2"/>
  <c r="H84" i="2" s="1"/>
  <c r="E67" i="3"/>
  <c r="E90" i="3"/>
  <c r="E78" i="3"/>
  <c r="E84" i="3" s="1"/>
  <c r="E96" i="3" s="1"/>
  <c r="E102" i="3" s="1"/>
  <c r="H79" i="4"/>
  <c r="H85" i="4" s="1"/>
  <c r="H91" i="4"/>
  <c r="I79" i="2"/>
  <c r="I85" i="2" s="1"/>
  <c r="I91" i="2"/>
  <c r="J67" i="2"/>
  <c r="J90" i="2"/>
  <c r="J78" i="2"/>
  <c r="J84" i="2" s="1"/>
  <c r="J96" i="2" s="1"/>
  <c r="J102" i="2" s="1"/>
  <c r="D90" i="3"/>
  <c r="D78" i="3"/>
  <c r="D84" i="3" s="1"/>
  <c r="D96" i="3" s="1"/>
  <c r="D102" i="3" s="1"/>
  <c r="D67" i="3"/>
  <c r="G95" i="3"/>
  <c r="G101" i="3" s="1"/>
  <c r="J67" i="3"/>
  <c r="J90" i="3"/>
  <c r="J78" i="3"/>
  <c r="J84" i="3" s="1"/>
  <c r="J96" i="3" s="1"/>
  <c r="J102" i="3" s="1"/>
  <c r="F79" i="4"/>
  <c r="F85" i="4" s="1"/>
  <c r="F91" i="4"/>
  <c r="I67" i="4"/>
  <c r="I90" i="4"/>
  <c r="I78" i="4"/>
  <c r="I84" i="4" s="1"/>
  <c r="I96" i="4" s="1"/>
  <c r="I102" i="4" s="1"/>
  <c r="E95" i="3"/>
  <c r="E101" i="3" s="1"/>
  <c r="C67" i="3"/>
  <c r="C78" i="3"/>
  <c r="C84" i="3" s="1"/>
  <c r="C96" i="3" s="1"/>
  <c r="C102" i="3" s="1"/>
  <c r="C90" i="3"/>
  <c r="J95" i="2"/>
  <c r="J101" i="2" s="1"/>
  <c r="E40" i="7"/>
  <c r="E51" i="7" s="1"/>
  <c r="E30" i="7"/>
  <c r="J95" i="4"/>
  <c r="J101" i="4" s="1"/>
  <c r="D78" i="4"/>
  <c r="D84" i="4" s="1"/>
  <c r="D67" i="4"/>
  <c r="D90" i="4"/>
  <c r="I67" i="3"/>
  <c r="I90" i="3"/>
  <c r="I78" i="3"/>
  <c r="I84" i="3" s="1"/>
  <c r="I96" i="3" s="1"/>
  <c r="I102" i="3" s="1"/>
  <c r="D95" i="3"/>
  <c r="D101" i="3" s="1"/>
  <c r="F67" i="3"/>
  <c r="F90" i="3"/>
  <c r="F78" i="3"/>
  <c r="F84" i="3" s="1"/>
  <c r="F96" i="3" s="1"/>
  <c r="F102" i="3" s="1"/>
  <c r="H95" i="2"/>
  <c r="H101" i="2" s="1"/>
  <c r="I95" i="4"/>
  <c r="I101" i="4" s="1"/>
  <c r="C91" i="4"/>
  <c r="C79" i="4"/>
  <c r="C85" i="4" s="1"/>
  <c r="C97" i="4" s="1"/>
  <c r="C95" i="3"/>
  <c r="C101" i="3" s="1"/>
  <c r="C96" i="4"/>
  <c r="C102" i="4" s="1"/>
  <c r="G91" i="4"/>
  <c r="G79" i="4"/>
  <c r="G85" i="4" s="1"/>
  <c r="E77" i="2"/>
  <c r="E83" i="2" s="1"/>
  <c r="E66" i="2"/>
  <c r="E89" i="2"/>
  <c r="F97" i="4" l="1"/>
  <c r="H96" i="2"/>
  <c r="H102" i="2" s="1"/>
  <c r="E67" i="4"/>
  <c r="E90" i="4"/>
  <c r="E78" i="4"/>
  <c r="E84" i="4" s="1"/>
  <c r="E96" i="4" s="1"/>
  <c r="E102" i="4" s="1"/>
  <c r="H97" i="3"/>
  <c r="H103" i="3" s="1"/>
  <c r="H105" i="3" s="1"/>
  <c r="H109" i="3" s="1"/>
  <c r="D91" i="3"/>
  <c r="D79" i="3"/>
  <c r="D85" i="3" s="1"/>
  <c r="D96" i="4"/>
  <c r="D102" i="4" s="1"/>
  <c r="F67" i="2"/>
  <c r="F90" i="2"/>
  <c r="F78" i="2"/>
  <c r="F84" i="2" s="1"/>
  <c r="F96" i="2" s="1"/>
  <c r="F102" i="2" s="1"/>
  <c r="J91" i="2"/>
  <c r="J79" i="2"/>
  <c r="J85" i="2" s="1"/>
  <c r="F95" i="2"/>
  <c r="F101" i="2" s="1"/>
  <c r="E90" i="2"/>
  <c r="E78" i="2"/>
  <c r="E84" i="2" s="1"/>
  <c r="E96" i="2" s="1"/>
  <c r="E102" i="2" s="1"/>
  <c r="E67" i="2"/>
  <c r="I97" i="2"/>
  <c r="I103" i="2" s="1"/>
  <c r="I105" i="2" s="1"/>
  <c r="I109" i="2" s="1"/>
  <c r="G97" i="4"/>
  <c r="F106" i="4"/>
  <c r="F107" i="4" s="1"/>
  <c r="F103" i="4"/>
  <c r="F105" i="4" s="1"/>
  <c r="I79" i="3"/>
  <c r="I85" i="3" s="1"/>
  <c r="I91" i="3"/>
  <c r="E31" i="7"/>
  <c r="E42" i="7" s="1"/>
  <c r="E41" i="7"/>
  <c r="E52" i="7" s="1"/>
  <c r="E95" i="2"/>
  <c r="E101" i="2" s="1"/>
  <c r="E91" i="3"/>
  <c r="E79" i="3"/>
  <c r="E85" i="3" s="1"/>
  <c r="G79" i="2"/>
  <c r="G85" i="2" s="1"/>
  <c r="G91" i="2"/>
  <c r="G91" i="3"/>
  <c r="G79" i="3"/>
  <c r="G85" i="3" s="1"/>
  <c r="B55" i="7"/>
  <c r="B56" i="7" s="1"/>
  <c r="B53" i="7"/>
  <c r="B54" i="7" s="1"/>
  <c r="B57" i="7" s="1"/>
  <c r="B58" i="7" s="1"/>
  <c r="B59" i="7" s="1"/>
  <c r="B60" i="7" s="1"/>
  <c r="D31" i="7"/>
  <c r="D42" i="7" s="1"/>
  <c r="D41" i="7"/>
  <c r="D52" i="7" s="1"/>
  <c r="C91" i="3"/>
  <c r="C79" i="3"/>
  <c r="C85" i="3" s="1"/>
  <c r="D106" i="2"/>
  <c r="D107" i="2" s="1"/>
  <c r="D103" i="2"/>
  <c r="D105" i="2" s="1"/>
  <c r="D91" i="4"/>
  <c r="D79" i="4"/>
  <c r="D85" i="4" s="1"/>
  <c r="C79" i="2"/>
  <c r="C85" i="2" s="1"/>
  <c r="C91" i="2"/>
  <c r="H97" i="4"/>
  <c r="H103" i="4" s="1"/>
  <c r="H105" i="4" s="1"/>
  <c r="H109" i="4" s="1"/>
  <c r="I91" i="4"/>
  <c r="I79" i="4"/>
  <c r="I85" i="4" s="1"/>
  <c r="C55" i="7"/>
  <c r="C56" i="7" s="1"/>
  <c r="C53" i="7"/>
  <c r="C54" i="7" s="1"/>
  <c r="C57" i="7" s="1"/>
  <c r="C58" i="7" s="1"/>
  <c r="C59" i="7" s="1"/>
  <c r="C60" i="7" s="1"/>
  <c r="F79" i="3"/>
  <c r="F85" i="3" s="1"/>
  <c r="F91" i="3"/>
  <c r="J79" i="3"/>
  <c r="J85" i="3" s="1"/>
  <c r="J91" i="3"/>
  <c r="G96" i="3"/>
  <c r="G102" i="3" s="1"/>
  <c r="C103" i="4"/>
  <c r="C105" i="4" s="1"/>
  <c r="C106" i="4"/>
  <c r="C107" i="4" s="1"/>
  <c r="H79" i="2"/>
  <c r="H85" i="2" s="1"/>
  <c r="H97" i="2" s="1"/>
  <c r="H103" i="2" s="1"/>
  <c r="H105" i="2" s="1"/>
  <c r="H109" i="2" s="1"/>
  <c r="H91" i="2"/>
  <c r="J91" i="4"/>
  <c r="J79" i="4"/>
  <c r="J85" i="4" s="1"/>
  <c r="J97" i="4" s="1"/>
  <c r="J103" i="4" s="1"/>
  <c r="J105" i="4" s="1"/>
  <c r="J109" i="4" s="1"/>
  <c r="I97" i="4" l="1"/>
  <c r="I103" i="4" s="1"/>
  <c r="I105" i="4" s="1"/>
  <c r="I109" i="4" s="1"/>
  <c r="C109" i="4"/>
  <c r="J97" i="2"/>
  <c r="J103" i="2" s="1"/>
  <c r="J105" i="2" s="1"/>
  <c r="J109" i="2" s="1"/>
  <c r="E79" i="4"/>
  <c r="E85" i="4" s="1"/>
  <c r="E91" i="4"/>
  <c r="C97" i="3"/>
  <c r="D109" i="2"/>
  <c r="F109" i="4"/>
  <c r="I97" i="3"/>
  <c r="I103" i="3" s="1"/>
  <c r="I105" i="3" s="1"/>
  <c r="I109" i="3" s="1"/>
  <c r="J97" i="3"/>
  <c r="J103" i="3" s="1"/>
  <c r="J105" i="3" s="1"/>
  <c r="J109" i="3" s="1"/>
  <c r="E79" i="2"/>
  <c r="E85" i="2" s="1"/>
  <c r="E91" i="2"/>
  <c r="E97" i="3"/>
  <c r="D97" i="3"/>
  <c r="F97" i="3"/>
  <c r="G106" i="4"/>
  <c r="G107" i="4" s="1"/>
  <c r="G103" i="4"/>
  <c r="G105" i="4" s="1"/>
  <c r="C106" i="3"/>
  <c r="C107" i="3" s="1"/>
  <c r="C103" i="3"/>
  <c r="C105" i="3" s="1"/>
  <c r="C109" i="3" s="1"/>
  <c r="G97" i="2"/>
  <c r="C97" i="2"/>
  <c r="D55" i="7"/>
  <c r="D56" i="7" s="1"/>
  <c r="D53" i="7"/>
  <c r="D54" i="7" s="1"/>
  <c r="G97" i="3"/>
  <c r="F91" i="2"/>
  <c r="F79" i="2"/>
  <c r="F85" i="2" s="1"/>
  <c r="D97" i="4"/>
  <c r="E55" i="7"/>
  <c r="E56" i="7" s="1"/>
  <c r="E53" i="7"/>
  <c r="E54" i="7" s="1"/>
  <c r="E57" i="7" s="1"/>
  <c r="E58" i="7" s="1"/>
  <c r="E59" i="7" s="1"/>
  <c r="E60" i="7" s="1"/>
  <c r="G109" i="4" l="1"/>
  <c r="E97" i="2"/>
  <c r="F97" i="2"/>
  <c r="E97" i="4"/>
  <c r="F106" i="2"/>
  <c r="F107" i="2" s="1"/>
  <c r="F103" i="2"/>
  <c r="F105" i="2" s="1"/>
  <c r="F109" i="2" s="1"/>
  <c r="E106" i="3"/>
  <c r="E107" i="3" s="1"/>
  <c r="E103" i="3"/>
  <c r="E105" i="3" s="1"/>
  <c r="E109" i="3" s="1"/>
  <c r="D57" i="7"/>
  <c r="D58" i="7" s="1"/>
  <c r="D59" i="7" s="1"/>
  <c r="D60" i="7" s="1"/>
  <c r="G106" i="2"/>
  <c r="G107" i="2" s="1"/>
  <c r="G103" i="2"/>
  <c r="G105" i="2" s="1"/>
  <c r="G109" i="2" s="1"/>
  <c r="F106" i="3"/>
  <c r="F107" i="3" s="1"/>
  <c r="F103" i="3"/>
  <c r="F105" i="3" s="1"/>
  <c r="F109" i="3" s="1"/>
  <c r="E103" i="2"/>
  <c r="E105" i="2" s="1"/>
  <c r="E109" i="2" s="1"/>
  <c r="E106" i="2"/>
  <c r="E107" i="2" s="1"/>
  <c r="G106" i="3"/>
  <c r="G107" i="3" s="1"/>
  <c r="G103" i="3"/>
  <c r="G105" i="3" s="1"/>
  <c r="G109" i="3" s="1"/>
  <c r="C106" i="2"/>
  <c r="C107" i="2" s="1"/>
  <c r="C103" i="2"/>
  <c r="C105" i="2" s="1"/>
  <c r="C109" i="2" s="1"/>
  <c r="D103" i="3"/>
  <c r="D105" i="3" s="1"/>
  <c r="D106" i="3"/>
  <c r="D107" i="3" s="1"/>
  <c r="D106" i="4"/>
  <c r="D107" i="4" s="1"/>
  <c r="D103" i="4"/>
  <c r="D105" i="4" s="1"/>
  <c r="E106" i="4" l="1"/>
  <c r="E107" i="4" s="1"/>
  <c r="E103" i="4"/>
  <c r="E105" i="4" s="1"/>
  <c r="E109" i="4" s="1"/>
  <c r="D109" i="4"/>
  <c r="D109" i="3"/>
  <c r="K110" i="4"/>
  <c r="K109" i="4"/>
  <c r="K119" i="4" s="1"/>
  <c r="K122" i="4" s="1"/>
  <c r="B19" i="6" s="1"/>
  <c r="E19" i="6" s="1"/>
  <c r="K110" i="2"/>
  <c r="K109" i="2"/>
  <c r="K119" i="2" s="1"/>
  <c r="K122" i="2" s="1"/>
  <c r="B18" i="6" s="1"/>
  <c r="E18" i="6" s="1"/>
  <c r="K110" i="3" l="1"/>
  <c r="K109" i="3"/>
  <c r="K119" i="3" s="1"/>
  <c r="K122" i="3" s="1"/>
  <c r="B17" i="6" s="1"/>
  <c r="E17" i="6" l="1"/>
  <c r="B21" i="6"/>
  <c r="E21" i="6"/>
</calcChain>
</file>

<file path=xl/sharedStrings.xml><?xml version="1.0" encoding="utf-8"?>
<sst xmlns="http://schemas.openxmlformats.org/spreadsheetml/2006/main" count="639" uniqueCount="338">
  <si>
    <t>FinSurf — SOTP-DCF Inputs</t>
  </si>
  <si>
    <t>Phase 2 v3 — per-Segment WACC (Damodaran β), shared D/E + tax. Column C = Reasoning.</t>
  </si>
  <si>
    <t>── Company ──</t>
  </si>
  <si>
    <t>Company</t>
  </si>
  <si>
    <t>DHL Group</t>
  </si>
  <si>
    <t>Ticker</t>
  </si>
  <si>
    <t>DHL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</si>
  <si>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</si>
  <si>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</si>
  <si>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</si>
  <si>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</si>
  <si>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</si>
  <si>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</si>
  <si>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</si>
  <si>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</si>
  <si>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</si>
  <si>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</si>
  <si>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</si>
  <si>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</si>
  <si>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</si>
  <si>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</si>
  <si>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</si>
  <si>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</si>
  <si>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</si>
  <si>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</si>
  <si>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</si>
  <si>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</si>
  <si>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</si>
  <si>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</si>
  <si>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</si>
  <si>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</si>
  <si>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Europa 56,9% (DE/EU ~0pp, Türkei IAS-29-exponiert ~0,5% CRP auf kleine Basis), Americas 21,8% (&gt;0pp), APAC 16,1% (mix entwickelt/EM), MEA 5,3% (~2,5% CRP auf kleiner Gewicht) → gewichtet ~0,5pp Group-CRP.</t>
  </si>
  <si>
    <t>Specific Risk Premium</t>
  </si>
  <si>
    <t>Kein struktureller SRP: Investment-Grade A2/A-, breite Diversifikation 220+ Länder, kein Key-Customer-Klumpen (kein Einzelkunde material). Keine Governance-Konzentration (streubesitzgelistet). Laufende Rechtsrisiken (Express legal provisions) in binary_adjustments abgebildet.</t>
  </si>
  <si>
    <t>Cost of Equity Group [calc, ≥ Kd + Nachrang-Spread]</t>
  </si>
  <si>
    <t>Cost of Debt pre-tax (Kd)</t>
  </si>
  <si>
    <t>Moody's A2 / Fitch A- stabil (Dezember 2025). Finance costs €1.281m − Lease-Zinsen €719m (aus FCF-Berechnung) = non-lease Zinsaufwand ~€562m auf avg. non-lease Bruttoverschuldung ~€10,0 Mrd (2024: €8,3 Mrd, 2025: €11,7 Mrd) = implizit ~5,6%; aber Finance costs enthalten FX-Transaktionseffekte. Anleihe-Emissionen 2025 in drei Tranchen €2,25 Mrd + €0,9 Mrd + €1,35 Mrd; Renditeland A-/A2 ~Bund+80-120bps = ~3,2-3,6%; Kd 4,0% als Anker (konservativ, A2-Spread ca. 160bps auf Bund 2,4%, reflektiert auch Banklinien und Hybrid-Strukturen; liegt über implied gezahltem Satz aus FCF = €213m / avg. debt ~2,1% → Accounting-Anpassungen erklären Delta; 4,0% minimal-konservativ).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</si>
  <si>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</si>
  <si>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</si>
  <si>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</si>
  <si>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</si>
  <si>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</si>
  <si>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</si>
  <si>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</si>
  <si>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</si>
  <si>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</si>
  <si>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</si>
  <si>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</si>
  <si>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</si>
  <si>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</si>
  <si>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</si>
  <si>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</si>
  <si>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Writer — data/size_premium.json (Kroll-Baender); wirkt explizit UND terminal</t>
  </si>
  <si>
    <t>SOTP DCF [Base] — Segment-Level Forecast + Group-Aggregation</t>
  </si>
  <si>
    <t>Yellow = Inputs. Orange = Reasoning (Writer befüllt nach Review-Call). Blue = computed. Green = output.</t>
  </si>
  <si>
    <t>Express</t>
  </si>
  <si>
    <t>Global Forwarding, Freight</t>
  </si>
  <si>
    <t>Supply Chain</t>
  </si>
  <si>
    <t>eCommerce</t>
  </si>
  <si>
    <t>Post &amp; Parcel Germany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</si>
  <si>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</si>
  <si>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</si>
  <si>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</si>
  <si>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</si>
  <si>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</si>
  <si>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</si>
  <si>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</si>
  <si>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</si>
  <si>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</si>
  <si>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</si>
  <si>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</si>
  <si>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</si>
  <si>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</si>
  <si>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</si>
  <si>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</si>
  <si>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</si>
  <si>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</si>
  <si>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</si>
  <si>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</si>
  <si>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Guidance 2026 DHL-Divisions EBIT &gt; €5,6 Mrd (vs. €5,5 Mrd 2025); Express ~55% der Divisions-EBIT. TDI-Volumen -9,4% in 2025 durch US-Zolldisruption (strukturell reversibel: Handelsströme verlagern sich statt zu verschwinden). Mittelfristig unterstützt Strategy 2030 Wachstum in APAC, MEA, India, Life Sciences. 4% CAGR: +1-2pp über 2025-Organic-Level (bereinigt um US-Tariff-Effekt) wegen Volumenerhohlung und Expansion in schnell wachsenden Märkten. Keine explizite Express-Umsatz-Guidance; CAGR...</t>
  </si>
  <si>
    <t>Frachtraten in 2025 normalisiert nach Post-COVID-Peak 2022. Organisch -3,4% cc in 2025 (Volumendruck + Rateneffekt). Mittelfristig: globales Handelsvolumen-Wachstum ~2-3% real + moderate Preiskomponente; Restrukturierungsprogramm (€84m) verbessert Kostenbasis. 3% CAGR = konservative Rate nahe Marktwachstum, ohne Frachtraten-Boom-Normalisierung zu überschätzen. Freight BU (LTL Deutschland) hat strukturellen Gegenwind durch Automobilindustrie-Schwäche.</t>
  </si>
  <si>
    <t>Organisch +3,7% cc in 2025 trotz FX-Gegenwind (nominal +0,5%). Neue Vertragsabschlüsse €7,5 Mrd = starker Backlog-Indikator für zukünftige Revenue-Konversion (Kontraktlaufzeiten typisch 3-5 Jahre). Life Sciences &amp; Healthcare und Engineering &amp; Manufacturing als Wachstumstreiber. Strategy 2030 priorisiert Ausbau Life Sciences. 4,5% CAGR: nahe organischer Wachstumsrate cc; marginaler Fade wegen wachsender Basis (Umsatz &gt; €17 Mrd); kein Boom-Jahr gegenwärtig. Americas-Segment (+1% trotz Tarif-Uns...</t>
  </si>
  <si>
    <t>Struktureller E-Commerce-Wachstumstrend (B2C Cross-Border stark in Indien, Saudi-Arabien, Asien). Organisch +1,0% cc in 2025; UK-Business abgespalten (deconsolidiert), kleinere verbleibende Basis. 5% CAGR: post-UK-Basis organisch wächst schneller; Märkte APAC und EM sind Treiber. Goodwill-Impairmenttest: management erwartet 'growth to continue even in the context of tariff and trade policy changes'; stable-state erst 2030 → extended planning phase. Moderate CAGR unter Berücksichtigung kleiner...</t>
  </si>
  <si>
    <t>Revenue 2025 +3,0% durch Preissteigerungen + Parcel-Volumenwachstum (+11,7%). 2026 Guidance: PPG &gt; €0,9 Mrd EBIT (vs. €1,0 Mrd 2025 reported) — impliziert entweder niedrigere Marge oder angenommene Kostensteigerungen durch Tarifvereinbarungen ab April 2025. Revenue-Wachstum: Parcel-Volumen strukturell wächst (+11,7% 2025), aber Briefvolumen strukturell fällt (-7,3% 2025). Netto: 2% CAGR = nachhaltiges Niveau mit Preiserhöhungen teilweise offsetting Briefmengenrückgang; Parcel-Preise/Mix posit...</t>
  </si>
  <si>
    <t>Margin-Reasoning (Review-Call-Audit)</t>
  </si>
  <si>
    <t>Y1 13,0% = reported 12,9% + 0,5pp Rückrechnung negativer Non-Recurrings (Restrukturierung €70m + Legal Provisions €64m - M&amp;A €5m = netto €129m negativ / €24.430m = 0,53pp). Run-Rate 13,4% leicht über reported. Y1 auf 13,0% gesetzt weil 2026 die Volumen-Erholung nur partiell erwartet wird (US-Tarifdynamik bleibt). Demonstrated through-cycle: 2024 12,3%, 2025 12,9% — trotz TDI-Volumen-Trog bleibt Marge stabil durch Preisdisziplin und Netzflexibilität. Y5 13,5% = +0,5pp über Y1 durch Operating L...</t>
  </si>
  <si>
    <t>Y1 4,6% = reported 4,1% + 0,45pp Rückrechnung Restrukturierungskosten €84m non-recurring (Note Segment-Reporting: 'negative non-recurring effect of €84m due to restructuring'). Run-Rate 4,55%. Y1 auf 4,6% gesetzt — nahe Run-Rate, 2026 Restrukturierungsbenefits fließen ein aber Marktumfeld bleibt schwierig. Demonstrated 2024: 5,5% (normal), 2025: 4,1% (trough inkl. Restrukturierung). Through-cycle 5,0% (Normaljahr 2024). Y5 5,5% = Erholung Richtung 2024-Niveau durch Kostenprogramm-Benefits, mo...</t>
  </si>
  <si>
    <t>Y1 6,2% = reported 6,5% − 0,18pp positiver One-off-Effekt (€32m Konsolidierungsänderungen Netto, Note: 'positive non-recurring effect of €32m mainly due to changes in the consolidated group'). Run-Rate 6,3%. Y1 6,2% nahe Run-Rate, 2026 ohne Portfolioeffekt. Demonstrierte Marge 2024→2025: 6,0%→6,5% (+0,5pp), strukturell steigende Tendenz durch Digitalisierung/Automatisierung/Standardisierung. Y5 7,0% = +0,8pp über Y1 durch Operating Leverage (skalierte Standardprozesse), besserer Sektormix (Li...</t>
  </si>
  <si>
    <t>Y1 3,6% = reported 5,5% − 1,87pp Korrektur der positiven One-off-Effekte (Deconsolidation Gain Evri-Merger netto €129m = +€209m Buchgewinn − €30m Restrukturierung − €49m Veräußerungsverluste; €129m / €6.884m = 1,87pp). Run-Rate = reported 5,5% − 1,87pp = 3,6%. Y1 3,6% ist damit der sauber bereinigte operative Ausgangspunkt. Y5 5,5% = Skalierung auf strukturell stabileres Niveau; Impairment-Test-Note: 'extended planning phase of five years for eCommerce CGU, stable state expected 2030' — Y5 20...</t>
  </si>
  <si>
    <t>Y1 5,1% = Run-Rate (bereinigt): reported 5,8% − 0,34pp: add-back €60m negative Restrukturierung (non-recurring, 2025) gibt Run-Rate 6,1%, aber 2026-Guidance &gt; €0,9 Mrd auf projected Revenue ~€18,2-18,5 Mrd = ~4,9-4,95% impliziert NIEDRIGERE Marge als Run-Rate. Grund: Tariferhöhungen wirken voll ab 2026 (Kollektivvereinbarung ab April 2025), Brief-Volumen-Rückgang beschleunigt. Y1 5,1% = Mitte zwischen Run-Rate 6,1% und Guidance-impliziert ~4,9% — die 2026-Guidance ist der Anker. Y5 5,5% = mod...</t>
  </si>
  <si>
    <t>Multiple-Gate (implied vs Sektor-Ceiling)</t>
  </si>
  <si>
    <t>ok: EV/EBITDA 7.6x &lt;= 1.1x x Median 12.0x (transportation)</t>
  </si>
  <si>
    <t>ok: EV/EBITDA 13.5x &lt;= 1.1x x Median 12.0x (transportation)</t>
  </si>
  <si>
    <t>WARN: EV/EBITDA 4.7x &lt; 0.4x Median 12.0x — Distress oder Input pruefen (kein Clamp)</t>
  </si>
  <si>
    <t>ok: EV/EBITDA 7.5x &lt;= 1.8x x Median 12.0x (transportation)</t>
  </si>
  <si>
    <t>WARN: EV/EBITDA 2.0x &lt; 0.4x Median 12.0x — Distress oder Input pruefen (kein Clamp)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</si>
  <si>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</si>
  <si>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</si>
  <si>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</si>
  <si>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</si>
  <si>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</si>
  <si>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</si>
  <si>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</si>
  <si>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</si>
  <si>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</si>
  <si>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</si>
  <si>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</si>
  <si>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</si>
  <si>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</si>
  <si>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</si>
  <si>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</si>
  <si>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</si>
  <si>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</si>
  <si>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</si>
  <si>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</si>
  <si>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</si>
  <si>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</si>
  <si>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</si>
  <si>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</si>
  <si>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</si>
  <si>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</si>
  <si>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</si>
  <si>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</si>
  <si>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</si>
  <si>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</si>
  <si>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</si>
  <si>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</si>
  <si>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</si>
  <si>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</si>
  <si>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</si>
  <si>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</si>
  <si>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</si>
  <si>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</si>
  <si>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</si>
  <si>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</si>
  <si>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</si>
  <si>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</si>
  <si>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</si>
  <si>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</si>
  <si>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</si>
  <si>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</si>
  <si>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</si>
  <si>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</si>
  <si>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</si>
  <si>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</si>
  <si>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</si>
  <si>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</si>
  <si>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</si>
  <si>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</si>
  <si>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</si>
  <si>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</si>
  <si>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</si>
  <si>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</si>
  <si>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</si>
  <si>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</si>
  <si>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</si>
  <si>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</si>
  <si>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</si>
  <si>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</si>
  <si>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</si>
  <si>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</si>
  <si>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</si>
  <si>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</si>
  <si>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</si>
  <si>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</si>
  <si>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</si>
  <si>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</si>
  <si>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</si>
  <si>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</si>
  <si>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</si>
  <si>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</si>
  <si>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</si>
  <si>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</si>
  <si>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</si>
  <si>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</si>
  <si>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</si>
  <si>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</si>
  <si>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</si>
  <si>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</si>
  <si>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</si>
  <si>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</si>
  <si>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</si>
  <si>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</si>
  <si>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</si>
  <si>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</si>
  <si>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</si>
  <si>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</si>
  <si>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</si>
  <si>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</si>
  <si>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</si>
  <si>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</si>
  <si>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</si>
  <si>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</si>
  <si>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</si>
  <si>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</si>
  <si>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Express Legal Provisions / laufende Rechtsstreitigkeiten</t>
  </si>
  <si>
    <t>Express hat in 2025 Legal Provisions €64m als non-recurring erfasst; globale Logistik mit strukturellem Litigation-Exposure in 220 Ländern. Erwartetes Netto-Exposure aus ungelösten Verfahren ~€170m, 50% Eintrittswahrscheinlichkeit = EV €-85m.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</si>
  <si>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</si>
  <si>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</si>
  <si>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</si>
  <si>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</si>
  <si>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</si>
  <si>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</si>
  <si>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</si>
  <si>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</si>
  <si>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</si>
  <si>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</si>
  <si>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</si>
  <si>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</si>
  <si>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</si>
  <si>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</si>
  <si>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</si>
  <si>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</si>
  <si>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</si>
  <si>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</si>
  <si>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</si>
  <si>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</si>
  <si>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</si>
  <si>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</si>
  <si>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</si>
  <si>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</si>
  <si>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</si>
  <si>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</si>
  <si>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</si>
  <si>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</si>
  <si>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</si>
  <si>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</si>
  <si>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</si>
  <si>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</si>
  <si>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</si>
  <si>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neutral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</si>
  <si>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</si>
  <si>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</si>
  <si>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</si>
  <si>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</si>
  <si>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</si>
  <si>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</si>
  <si>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</si>
  <si>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</si>
  <si>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</si>
  <si>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</si>
  <si>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</si>
  <si>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</si>
  <si>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</si>
  <si>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</si>
  <si>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</si>
  <si>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</si>
  <si>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</si>
  <si>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</si>
  <si>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</si>
  <si>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</si>
  <si>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</si>
  <si>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</si>
  <si>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</si>
  <si>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</si>
  <si>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</si>
  <si>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</si>
  <si>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</si>
  <si>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</si>
  <si>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</si>
  <si>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</si>
  <si>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</si>
  <si>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</si>
  <si>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</si>
  <si>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</si>
  <si>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</si>
  <si>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</si>
  <si>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</si>
  <si>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</si>
  <si>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</si>
  <si>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</si>
  <si>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</si>
  <si>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</si>
  <si>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</si>
  <si>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</si>
  <si>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</si>
  <si>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</si>
  <si>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</si>
  <si>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</si>
  <si>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</si>
  <si>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</si>
  <si>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</si>
  <si>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</si>
  <si>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</si>
  <si>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</si>
  <si>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</si>
  <si>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</si>
  <si>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</si>
  <si>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</si>
  <si>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</si>
  <si>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</si>
  <si>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</si>
  <si>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</si>
  <si>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</si>
  <si>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</si>
  <si>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</si>
  <si>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</si>
  <si>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</si>
  <si>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≈ unsere Annahmen</t>
  </si>
  <si>
    <t>Einordnung</t>
  </si>
  <si>
    <t>Der Markt zahlt heute rund 11.0x EV/EBITDA (trailing). Unser Kursziel entspricht rund 10.7x auf dem heutigen EBITDA (gleiche Basis, direkt mit der eigenen Historie vergleichbar). Das Markt-Niveau liegt im oberen Bereich der eigenen 5J-Spanne (5.5x bis 6.8x). Markt und unser Kursziel implizieren ein nahezu gleiches Multiple. Achtung: das trailing Multiple ist durch ein gedrücktes EBITDA-Jahr (Trog) rechnerisch überhöht, nicht durch einen Bewertungsaufschlag. Auf unserer Ergebnisschätzung für das kommende Jahr (t+1) entspricht das Kursziel rund 7.7x, der Markt 7.9x (anderer Nenner, nicht mit der Historie vergleichbar). Die Peer-Gruppe handelt bei 8.6–15.9x (Median 13.2x,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</si>
  <si>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</si>
  <si>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</si>
  <si>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</si>
  <si>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</si>
  <si>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</si>
  <si>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</si>
  <si>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</si>
  <si>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</si>
  <si>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FDX</t>
  </si>
  <si>
    <t>UPS</t>
  </si>
  <si>
    <t>SAIA</t>
  </si>
  <si>
    <t>KNX</t>
  </si>
  <si>
    <t>JBHT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</si>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</sst>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1150</v>
      </c>
    </row>
    <row r="12" spans="1:2" x14ac:dyDescent="0.25">
      <c r="A12" s="4" t="s">
        <v>13</v>
      </c>
      <c r="B12" s="5">
        <v>5041</v>
      </c>
    </row>
    <row r="13" spans="1:2" x14ac:dyDescent="0.25">
      <c r="A13" s="4" t="s">
        <v>14</v>
      </c>
      <c r="B13" s="5">
        <v>11768</v>
      </c>
    </row>
    <row r="14" spans="1:2" x14ac:dyDescent="0.25">
      <c r="A14" s="4" t="s">
        <v>15</v>
      </c>
      <c r="B14" s="6">
        <f>B13-B12</f>
        <v>6727</v>
      </c>
    </row>
    <row r="15" spans="1:2" x14ac:dyDescent="0.25">
      <c r="A15" s="4" t="s">
        <v>16</v>
      </c>
      <c r="B15" s="5">
        <v>2075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2.5000000000000001E-2</v>
      </c>
      <c r="C18" s="8" t="s">
        <v>20</v>
      </c>
    </row>
    <row r="19" spans="1:3" x14ac:dyDescent="0.25">
      <c r="A19" s="4" t="s">
        <v>21</v>
      </c>
      <c r="B19" s="7">
        <v>5.695554445554446E-2</v>
      </c>
      <c r="C19" s="8" t="s">
        <v>22</v>
      </c>
    </row>
    <row r="20" spans="1:3" x14ac:dyDescent="0.25">
      <c r="A20" s="4" t="s">
        <v>23</v>
      </c>
      <c r="B20" s="9">
        <v>1.022</v>
      </c>
      <c r="C20" s="8" t="s">
        <v>24</v>
      </c>
    </row>
    <row r="21" spans="1:3" x14ac:dyDescent="0.25">
      <c r="A21" s="4" t="s">
        <v>25</v>
      </c>
      <c r="B21" s="9">
        <v>0.35</v>
      </c>
      <c r="C21" s="8" t="s">
        <v>26</v>
      </c>
    </row>
    <row r="22" spans="1:3" x14ac:dyDescent="0.25">
      <c r="A22" s="4" t="s">
        <v>27</v>
      </c>
      <c r="B22" s="7">
        <v>0.29399999999999998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1.1839392539999998</v>
      </c>
    </row>
    <row r="24" spans="1:3" x14ac:dyDescent="0.25">
      <c r="A24" s="4" t="s">
        <v>30</v>
      </c>
      <c r="B24" s="7">
        <v>5.0000000000000001E-3</v>
      </c>
      <c r="C24" s="8" t="s">
        <v>31</v>
      </c>
    </row>
    <row r="25" spans="1:3" x14ac:dyDescent="0.25">
      <c r="A25" s="4" t="s">
        <v>32</v>
      </c>
      <c r="B25" s="7">
        <v>0</v>
      </c>
      <c r="C25" s="8" t="s">
        <v>33</v>
      </c>
    </row>
    <row r="26" spans="1:3" x14ac:dyDescent="0.25">
      <c r="A26" s="4" t="s">
        <v>34</v>
      </c>
      <c r="B26" s="11">
        <f>MAX(B18+B23*B19+B24+B25+B39,MIN(B27,0.08)+0.025)</f>
        <v>9.7431904813861131E-2</v>
      </c>
    </row>
    <row r="27" spans="1:3" x14ac:dyDescent="0.25">
      <c r="A27" s="4" t="s">
        <v>35</v>
      </c>
      <c r="B27" s="7">
        <v>0.04</v>
      </c>
      <c r="C27" s="8" t="s">
        <v>36</v>
      </c>
    </row>
    <row r="28" spans="1:3" x14ac:dyDescent="0.25">
      <c r="A28" s="4" t="s">
        <v>37</v>
      </c>
      <c r="B28" s="11">
        <f>B27*(1-B22)</f>
        <v>2.8239999999999998E-2</v>
      </c>
    </row>
    <row r="29" spans="1:3" x14ac:dyDescent="0.25">
      <c r="A29" s="4" t="s">
        <v>38</v>
      </c>
      <c r="B29" s="11">
        <f>1/(1+B21)</f>
        <v>0.7407407407407407</v>
      </c>
    </row>
    <row r="30" spans="1:3" x14ac:dyDescent="0.25">
      <c r="A30" s="4" t="s">
        <v>39</v>
      </c>
      <c r="B30" s="11">
        <f>B21/(1+B21)</f>
        <v>0.25925925925925924</v>
      </c>
    </row>
    <row r="31" spans="1:3" x14ac:dyDescent="0.25">
      <c r="A31" s="4" t="s">
        <v>40</v>
      </c>
      <c r="B31" s="12">
        <f>MAX(B26*B29+B28*B30,B35)</f>
        <v>7.9493262825082317E-2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0.02</v>
      </c>
    </row>
    <row r="34" spans="1:3" x14ac:dyDescent="0.25">
      <c r="A34" s="4" t="s">
        <v>43</v>
      </c>
      <c r="B34" s="7">
        <v>0.01</v>
      </c>
    </row>
    <row r="35" spans="1:3" x14ac:dyDescent="0.25">
      <c r="A35" s="4" t="s">
        <v>44</v>
      </c>
      <c r="B35" s="7">
        <v>0</v>
      </c>
      <c r="C35" s="8" t="s">
        <v>45</v>
      </c>
    </row>
    <row r="36" spans="1:3" x14ac:dyDescent="0.25">
      <c r="A36" s="4" t="s">
        <v>46</v>
      </c>
      <c r="B36" s="7">
        <v>0.25640000000000002</v>
      </c>
      <c r="C36" s="8" t="s">
        <v>47</v>
      </c>
    </row>
    <row r="37" spans="1:3" x14ac:dyDescent="0.25">
      <c r="A37" s="4" t="s">
        <v>48</v>
      </c>
      <c r="B37" s="11">
        <f>B18+0.008+0.02*B36</f>
        <v>3.8128000000000002E-2</v>
      </c>
      <c r="C37" s="8" t="s">
        <v>49</v>
      </c>
    </row>
    <row r="38" spans="1:3" x14ac:dyDescent="0.25">
      <c r="A38" s="4" t="s">
        <v>50</v>
      </c>
      <c r="B38" s="11">
        <f>B37*(1-B22)</f>
        <v>2.6918368000000002E-2</v>
      </c>
    </row>
    <row r="39" spans="1:3" x14ac:dyDescent="0.25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53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/>
      <c r="I4" s="14"/>
      <c r="J4" s="14"/>
    </row>
    <row r="5" spans="1:11" x14ac:dyDescent="0.25">
      <c r="A5" s="4" t="s">
        <v>65</v>
      </c>
      <c r="C5" s="5">
        <v>24430</v>
      </c>
      <c r="D5" s="5">
        <v>18643</v>
      </c>
      <c r="E5" s="5">
        <v>17778</v>
      </c>
      <c r="F5" s="5">
        <v>6884</v>
      </c>
      <c r="G5" s="5">
        <v>17874</v>
      </c>
      <c r="H5" s="5"/>
      <c r="I5" s="5"/>
      <c r="J5" s="5"/>
    </row>
    <row r="6" spans="1:11" x14ac:dyDescent="0.25">
      <c r="A6" s="4" t="s">
        <v>66</v>
      </c>
      <c r="C6" s="7">
        <v>0.04</v>
      </c>
      <c r="D6" s="7">
        <v>0.03</v>
      </c>
      <c r="E6" s="7">
        <v>4.4999999999999998E-2</v>
      </c>
      <c r="F6" s="7">
        <v>0.05</v>
      </c>
      <c r="G6" s="7">
        <v>0.02</v>
      </c>
      <c r="H6" s="7"/>
      <c r="I6" s="7"/>
      <c r="J6" s="7"/>
    </row>
    <row r="7" spans="1:11" x14ac:dyDescent="0.25">
      <c r="A7" s="4" t="s">
        <v>67</v>
      </c>
      <c r="C7" s="7">
        <v>0.13</v>
      </c>
      <c r="D7" s="7">
        <v>4.5999999999999999E-2</v>
      </c>
      <c r="E7" s="7">
        <v>6.2E-2</v>
      </c>
      <c r="F7" s="7">
        <v>3.5999999999999997E-2</v>
      </c>
      <c r="G7" s="7">
        <v>5.0999999999999997E-2</v>
      </c>
      <c r="H7" s="7"/>
      <c r="I7" s="7"/>
      <c r="J7" s="7"/>
    </row>
    <row r="8" spans="1:11" x14ac:dyDescent="0.25">
      <c r="A8" s="4" t="s">
        <v>68</v>
      </c>
      <c r="C8" s="15">
        <v>0.129</v>
      </c>
      <c r="D8" s="15">
        <v>4.1000000000000002E-2</v>
      </c>
      <c r="E8" s="15">
        <v>6.5000000000000002E-2</v>
      </c>
      <c r="F8" s="15">
        <v>5.5E-2</v>
      </c>
      <c r="G8" s="15">
        <v>5.8000000000000003E-2</v>
      </c>
      <c r="H8" s="15"/>
      <c r="I8" s="15"/>
      <c r="J8" s="15"/>
    </row>
    <row r="9" spans="1:11" x14ac:dyDescent="0.25">
      <c r="A9" s="4" t="s">
        <v>69</v>
      </c>
      <c r="C9" s="7">
        <v>0.13500000000000001</v>
      </c>
      <c r="D9" s="7">
        <v>7.0000000000000007E-2</v>
      </c>
      <c r="E9" s="7">
        <v>7.0000000000000007E-2</v>
      </c>
      <c r="F9" s="7">
        <v>5.5E-2</v>
      </c>
      <c r="G9" s="7">
        <v>5.5E-2</v>
      </c>
      <c r="H9" s="7"/>
      <c r="I9" s="7"/>
      <c r="J9" s="7"/>
    </row>
    <row r="10" spans="1:11" x14ac:dyDescent="0.25">
      <c r="A10" s="4" t="s">
        <v>70</v>
      </c>
      <c r="C10" s="7">
        <v>0.10100000000000001</v>
      </c>
      <c r="D10" s="7">
        <v>1.6E-2</v>
      </c>
      <c r="E10" s="7">
        <v>0.09</v>
      </c>
      <c r="F10" s="7">
        <v>5.7000000000000002E-2</v>
      </c>
      <c r="G10" s="7">
        <v>6.7000000000000004E-2</v>
      </c>
      <c r="H10" s="7"/>
      <c r="I10" s="7"/>
      <c r="J10" s="7"/>
    </row>
    <row r="11" spans="1:11" x14ac:dyDescent="0.25">
      <c r="A11" s="4" t="s">
        <v>71</v>
      </c>
      <c r="C11" s="7">
        <v>7.4999999999999997E-2</v>
      </c>
      <c r="D11" s="7">
        <v>1.7999999999999999E-2</v>
      </c>
      <c r="E11" s="7">
        <v>6.7000000000000004E-2</v>
      </c>
      <c r="F11" s="7">
        <v>4.2000000000000003E-2</v>
      </c>
      <c r="G11" s="7">
        <v>3.9E-2</v>
      </c>
      <c r="H11" s="7"/>
      <c r="I11" s="7"/>
      <c r="J11" s="7"/>
    </row>
    <row r="12" spans="1:11" x14ac:dyDescent="0.25">
      <c r="A12" s="4" t="s">
        <v>72</v>
      </c>
      <c r="C12" s="7">
        <v>2.5999999999999999E-2</v>
      </c>
      <c r="D12" s="7">
        <v>5.0000000000000001E-3</v>
      </c>
      <c r="E12" s="7">
        <v>2.3E-2</v>
      </c>
      <c r="F12" s="7">
        <v>1.4999999999999999E-2</v>
      </c>
      <c r="G12" s="7">
        <v>2.8000000000000001E-2</v>
      </c>
      <c r="H12" s="7"/>
      <c r="I12" s="7"/>
      <c r="J12" s="7"/>
    </row>
    <row r="13" spans="1:11" x14ac:dyDescent="0.25">
      <c r="A13" s="4" t="s">
        <v>73</v>
      </c>
      <c r="C13" s="7">
        <v>2.5000000000000001E-2</v>
      </c>
      <c r="D13" s="7">
        <v>2.1999999999999999E-2</v>
      </c>
      <c r="E13" s="7">
        <v>2.5000000000000001E-2</v>
      </c>
      <c r="F13" s="7">
        <v>0.03</v>
      </c>
      <c r="G13" s="7">
        <v>1.4999999999999999E-2</v>
      </c>
      <c r="H13" s="7"/>
      <c r="I13" s="7"/>
      <c r="J13" s="7"/>
    </row>
    <row r="14" spans="1:11" x14ac:dyDescent="0.25">
      <c r="A14" s="4" t="s">
        <v>74</v>
      </c>
      <c r="C14" s="9">
        <v>1.022</v>
      </c>
      <c r="D14" s="9">
        <v>1.022</v>
      </c>
      <c r="E14" s="9">
        <v>1.022</v>
      </c>
      <c r="F14" s="9">
        <v>1.022</v>
      </c>
      <c r="G14" s="9">
        <v>1.022</v>
      </c>
      <c r="H14" s="9"/>
      <c r="I14" s="9"/>
      <c r="J14" s="9"/>
    </row>
    <row r="15" spans="1:11" x14ac:dyDescent="0.25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7.9493262825082317E-2</v>
      </c>
      <c r="D16" s="11">
        <f>MAX((MAX(Inputs!B18+((1-0.33)*D14*(1+(1-Inputs!B22)*Inputs!B21)+0.33)*Inputs!B19+IF(ISBLANK(D17),Inputs!B24,D17)+Inputs!B25+Inputs!B39,MIN(Inputs!B27,0.08)+0.025))*Inputs!B29+Inputs!B28*Inputs!B30,D15)</f>
        <v>7.9493262825082317E-2</v>
      </c>
      <c r="E16" s="11">
        <f>MAX((MAX(Inputs!B18+((1-0.33)*E14*(1+(1-Inputs!B22)*Inputs!B21)+0.33)*Inputs!B19+IF(ISBLANK(E17),Inputs!B24,E17)+Inputs!B25+Inputs!B39,MIN(Inputs!B27,0.08)+0.025))*Inputs!B29+Inputs!B28*Inputs!B30,E15)</f>
        <v>7.9493262825082317E-2</v>
      </c>
      <c r="F16" s="11">
        <f>MAX((MAX(Inputs!B18+((1-0.33)*F14*(1+(1-Inputs!B22)*Inputs!B21)+0.33)*Inputs!B19+IF(ISBLANK(F17),Inputs!B24,F17)+Inputs!B25+Inputs!B39,MIN(Inputs!B27,0.08)+0.025))*Inputs!B29+Inputs!B28*Inputs!B30,F15)</f>
        <v>7.9493262825082317E-2</v>
      </c>
      <c r="G16" s="11">
        <f>MAX((MAX(Inputs!B18+((1-0.33)*G14*(1+(1-Inputs!B22)*Inputs!B21)+0.33)*Inputs!B19+IF(ISBLANK(G17),Inputs!B24,G17)+Inputs!B25+Inputs!B39,MIN(Inputs!B27,0.08)+0.025))*Inputs!B29+Inputs!B28*Inputs!B30,G15)</f>
        <v>7.9493262825082317E-2</v>
      </c>
      <c r="H16" s="11">
        <f>MAX((MAX(Inputs!B18+((1-0.33)*H14*(1+(1-Inputs!B22)*Inputs!B21)+0.33)*Inputs!B19+IF(ISBLANK(H17),Inputs!B24,H17)+Inputs!B25+Inputs!B39,MIN(Inputs!B27,0.08)+0.025))*Inputs!B29+Inputs!B28*Inputs!B30,H15)</f>
        <v>5.5469629629629633E-2</v>
      </c>
      <c r="I16" s="11">
        <f>MAX((MAX(Inputs!B18+((1-0.33)*I14*(1+(1-Inputs!B22)*Inputs!B21)+0.33)*Inputs!B19+IF(ISBLANK(I17),Inputs!B24,I17)+Inputs!B25+Inputs!B39,MIN(Inputs!B27,0.08)+0.025))*Inputs!B29+Inputs!B28*Inputs!B30,I15)</f>
        <v>5.5469629629629633E-2</v>
      </c>
      <c r="J16" s="11">
        <f>MAX((MAX(Inputs!B18+((1-0.33)*J14*(1+(1-Inputs!B22)*Inputs!B21)+0.33)*Inputs!B19+IF(ISBLANK(J17),Inputs!B24,J17)+Inputs!B25+Inputs!B39,MIN(Inputs!B27,0.08)+0.025))*Inputs!B29+Inputs!B28*Inputs!B30,J15)</f>
        <v>5.5469629629629633E-2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/>
      <c r="I18" s="18"/>
      <c r="J18" s="18"/>
    </row>
    <row r="19" spans="1:10" ht="39.950000000000003" customHeight="1" x14ac:dyDescent="0.25">
      <c r="A19" s="17" t="s">
        <v>84</v>
      </c>
      <c r="C19" s="18" t="s">
        <v>85</v>
      </c>
      <c r="D19" s="18" t="s">
        <v>86</v>
      </c>
      <c r="E19" s="18" t="s">
        <v>87</v>
      </c>
      <c r="F19" s="18" t="s">
        <v>88</v>
      </c>
      <c r="G19" s="18" t="s">
        <v>89</v>
      </c>
      <c r="H19" s="18"/>
      <c r="I19" s="18"/>
      <c r="J19" s="18"/>
    </row>
    <row r="20" spans="1:10" ht="27.95" customHeight="1" x14ac:dyDescent="0.25">
      <c r="A20" s="17" t="s">
        <v>90</v>
      </c>
      <c r="C20" s="18" t="s">
        <v>91</v>
      </c>
      <c r="D20" s="18" t="s">
        <v>92</v>
      </c>
      <c r="E20" s="18" t="s">
        <v>93</v>
      </c>
      <c r="F20" s="18" t="s">
        <v>94</v>
      </c>
      <c r="G20" s="18" t="s">
        <v>95</v>
      </c>
      <c r="H20" s="18"/>
      <c r="I20" s="18"/>
      <c r="J20" s="18"/>
    </row>
    <row r="21" spans="1:10" x14ac:dyDescent="0.25">
      <c r="A21" s="4" t="s">
        <v>96</v>
      </c>
      <c r="C21" s="6">
        <f t="shared" ref="C21:J21" si="0">C5*(1+C6)^1</f>
        <v>25407.200000000001</v>
      </c>
      <c r="D21" s="6">
        <f t="shared" si="0"/>
        <v>19202.29</v>
      </c>
      <c r="E21" s="6">
        <f t="shared" si="0"/>
        <v>18578.009999999998</v>
      </c>
      <c r="F21" s="6">
        <f t="shared" si="0"/>
        <v>7228.2000000000007</v>
      </c>
      <c r="G21" s="6">
        <f t="shared" si="0"/>
        <v>18231.48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97</v>
      </c>
      <c r="C22" s="6">
        <f t="shared" ref="C22:J22" si="1">C5*(1+C6)^2</f>
        <v>26423.488000000001</v>
      </c>
      <c r="D22" s="6">
        <f t="shared" si="1"/>
        <v>19778.358700000001</v>
      </c>
      <c r="E22" s="6">
        <f t="shared" si="1"/>
        <v>19414.020449999996</v>
      </c>
      <c r="F22" s="6">
        <f t="shared" si="1"/>
        <v>7589.6100000000006</v>
      </c>
      <c r="G22" s="6">
        <f t="shared" si="1"/>
        <v>18596.1096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98</v>
      </c>
      <c r="C23" s="6">
        <f t="shared" ref="C23:J23" si="2">C5*(1+C6)^3</f>
        <v>27480.427520000001</v>
      </c>
      <c r="D23" s="6">
        <f t="shared" si="2"/>
        <v>20371.709460999999</v>
      </c>
      <c r="E23" s="6">
        <f t="shared" si="2"/>
        <v>20287.651370249998</v>
      </c>
      <c r="F23" s="6">
        <f t="shared" si="2"/>
        <v>7969.0905000000012</v>
      </c>
      <c r="G23" s="6">
        <f t="shared" si="2"/>
        <v>18968.031791999998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99</v>
      </c>
      <c r="C24" s="6">
        <f t="shared" ref="C24:J24" si="3">C5*(1+C6)^4</f>
        <v>28579.644620800005</v>
      </c>
      <c r="D24" s="6">
        <f t="shared" si="3"/>
        <v>20982.860744829999</v>
      </c>
      <c r="E24" s="6">
        <f t="shared" si="3"/>
        <v>21200.59568191124</v>
      </c>
      <c r="F24" s="6">
        <f t="shared" si="3"/>
        <v>8367.5450249999994</v>
      </c>
      <c r="G24" s="6">
        <f t="shared" si="3"/>
        <v>19347.392427840001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100</v>
      </c>
      <c r="C25" s="6">
        <f t="shared" ref="C25:J25" si="4">C5*(1+C6)^5</f>
        <v>29722.830405632008</v>
      </c>
      <c r="D25" s="6">
        <f t="shared" si="4"/>
        <v>21612.346567174896</v>
      </c>
      <c r="E25" s="6">
        <f t="shared" si="4"/>
        <v>22154.622487597248</v>
      </c>
      <c r="F25" s="6">
        <f t="shared" si="4"/>
        <v>8785.9222762500012</v>
      </c>
      <c r="G25" s="6">
        <f t="shared" si="4"/>
        <v>19734.340276396801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101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102</v>
      </c>
      <c r="C27" s="11">
        <f t="shared" ref="C27:J27" si="5">IF(ISBLANK(C9),C7,C7+(C9-C7)*(0)/4)</f>
        <v>0.13</v>
      </c>
      <c r="D27" s="11">
        <f t="shared" si="5"/>
        <v>4.5999999999999999E-2</v>
      </c>
      <c r="E27" s="11">
        <f t="shared" si="5"/>
        <v>6.2E-2</v>
      </c>
      <c r="F27" s="11">
        <f t="shared" si="5"/>
        <v>3.5999999999999997E-2</v>
      </c>
      <c r="G27" s="11">
        <f t="shared" si="5"/>
        <v>5.0999999999999997E-2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103</v>
      </c>
      <c r="C28" s="11">
        <f t="shared" ref="C28:J28" si="6">IF(ISBLANK(C9),C7,C7+(C9-C7)*(1)/4)</f>
        <v>0.13125000000000001</v>
      </c>
      <c r="D28" s="11">
        <f t="shared" si="6"/>
        <v>5.2000000000000005E-2</v>
      </c>
      <c r="E28" s="11">
        <f t="shared" si="6"/>
        <v>6.4000000000000001E-2</v>
      </c>
      <c r="F28" s="11">
        <f t="shared" si="6"/>
        <v>4.0749999999999995E-2</v>
      </c>
      <c r="G28" s="11">
        <f t="shared" si="6"/>
        <v>5.1999999999999998E-2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104</v>
      </c>
      <c r="C29" s="11">
        <f t="shared" ref="C29:J29" si="7">IF(ISBLANK(C9),C7,C7+(C9-C7)*(2)/4)</f>
        <v>0.13250000000000001</v>
      </c>
      <c r="D29" s="11">
        <f t="shared" si="7"/>
        <v>5.8000000000000003E-2</v>
      </c>
      <c r="E29" s="11">
        <f t="shared" si="7"/>
        <v>6.6000000000000003E-2</v>
      </c>
      <c r="F29" s="11">
        <f t="shared" si="7"/>
        <v>4.5499999999999999E-2</v>
      </c>
      <c r="G29" s="11">
        <f t="shared" si="7"/>
        <v>5.2999999999999999E-2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105</v>
      </c>
      <c r="C30" s="11">
        <f t="shared" ref="C30:J30" si="8">IF(ISBLANK(C9),C7,C7+(C9-C7)*(3)/4)</f>
        <v>0.13375000000000001</v>
      </c>
      <c r="D30" s="11">
        <f t="shared" si="8"/>
        <v>6.4000000000000001E-2</v>
      </c>
      <c r="E30" s="11">
        <f t="shared" si="8"/>
        <v>6.8000000000000005E-2</v>
      </c>
      <c r="F30" s="11">
        <f t="shared" si="8"/>
        <v>5.0250000000000003E-2</v>
      </c>
      <c r="G30" s="11">
        <f t="shared" si="8"/>
        <v>5.3999999999999999E-2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106</v>
      </c>
      <c r="C31" s="11">
        <f t="shared" ref="C31:J31" si="9">IF(ISBLANK(C9),C7,C7+(C9-C7)*(4)/4)</f>
        <v>0.13500000000000001</v>
      </c>
      <c r="D31" s="11">
        <f t="shared" si="9"/>
        <v>7.0000000000000007E-2</v>
      </c>
      <c r="E31" s="11">
        <f t="shared" si="9"/>
        <v>7.0000000000000007E-2</v>
      </c>
      <c r="F31" s="11">
        <f t="shared" si="9"/>
        <v>5.5E-2</v>
      </c>
      <c r="G31" s="11">
        <f t="shared" si="9"/>
        <v>5.5E-2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107</v>
      </c>
      <c r="C33" s="6">
        <f t="shared" ref="C33:J37" si="10">C21*C27</f>
        <v>3302.9360000000001</v>
      </c>
      <c r="D33" s="6">
        <f t="shared" si="10"/>
        <v>883.30534</v>
      </c>
      <c r="E33" s="6">
        <f t="shared" si="10"/>
        <v>1151.8366199999998</v>
      </c>
      <c r="F33" s="6">
        <f t="shared" si="10"/>
        <v>260.21519999999998</v>
      </c>
      <c r="G33" s="6">
        <f t="shared" si="10"/>
        <v>929.80547999999987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108</v>
      </c>
      <c r="C34" s="6">
        <f t="shared" si="10"/>
        <v>3468.0828000000001</v>
      </c>
      <c r="D34" s="6">
        <f t="shared" si="10"/>
        <v>1028.4746524000002</v>
      </c>
      <c r="E34" s="6">
        <f t="shared" si="10"/>
        <v>1242.4973087999997</v>
      </c>
      <c r="F34" s="6">
        <f t="shared" si="10"/>
        <v>309.27660749999995</v>
      </c>
      <c r="G34" s="6">
        <f t="shared" si="10"/>
        <v>966.99769919999994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109</v>
      </c>
      <c r="C35" s="6">
        <f t="shared" si="10"/>
        <v>3641.1566464000002</v>
      </c>
      <c r="D35" s="6">
        <f t="shared" si="10"/>
        <v>1181.559148738</v>
      </c>
      <c r="E35" s="6">
        <f t="shared" si="10"/>
        <v>1338.9849904364999</v>
      </c>
      <c r="F35" s="6">
        <f t="shared" si="10"/>
        <v>362.59361775000002</v>
      </c>
      <c r="G35" s="6">
        <f t="shared" si="10"/>
        <v>1005.3056849759998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110</v>
      </c>
      <c r="C36" s="6">
        <f t="shared" si="10"/>
        <v>3822.5274680320008</v>
      </c>
      <c r="D36" s="6">
        <f t="shared" si="10"/>
        <v>1342.9030876691199</v>
      </c>
      <c r="E36" s="6">
        <f t="shared" si="10"/>
        <v>1441.6405063699644</v>
      </c>
      <c r="F36" s="6">
        <f t="shared" si="10"/>
        <v>420.46913750624998</v>
      </c>
      <c r="G36" s="6">
        <f t="shared" si="10"/>
        <v>1044.7591911033601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111</v>
      </c>
      <c r="C37" s="6">
        <f t="shared" si="10"/>
        <v>4012.5821047603213</v>
      </c>
      <c r="D37" s="6">
        <f t="shared" si="10"/>
        <v>1512.8642597022429</v>
      </c>
      <c r="E37" s="6">
        <f t="shared" si="10"/>
        <v>1550.8235741318074</v>
      </c>
      <c r="F37" s="6">
        <f t="shared" si="10"/>
        <v>483.22572519375007</v>
      </c>
      <c r="G37" s="6">
        <f t="shared" si="10"/>
        <v>1085.388715201824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112</v>
      </c>
      <c r="C39" s="6">
        <f>C33*(1-Inputs!B22)</f>
        <v>2331.8728160000001</v>
      </c>
      <c r="D39" s="6">
        <f>D33*(1-Inputs!B22)</f>
        <v>623.61357004000001</v>
      </c>
      <c r="E39" s="6">
        <f>E33*(1-Inputs!B22)</f>
        <v>813.19665371999986</v>
      </c>
      <c r="F39" s="6">
        <f>F33*(1-Inputs!B22)</f>
        <v>183.71193119999998</v>
      </c>
      <c r="G39" s="6">
        <f>G33*(1-Inputs!B22)</f>
        <v>656.44266887999993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113</v>
      </c>
      <c r="C40" s="6">
        <f>C34*(1-Inputs!B22)</f>
        <v>2448.4664567999998</v>
      </c>
      <c r="D40" s="6">
        <f>D34*(1-Inputs!B22)</f>
        <v>726.10310459440007</v>
      </c>
      <c r="E40" s="6">
        <f>E34*(1-Inputs!B22)</f>
        <v>877.20310001279972</v>
      </c>
      <c r="F40" s="6">
        <f>F34*(1-Inputs!B22)</f>
        <v>218.34928489499995</v>
      </c>
      <c r="G40" s="6">
        <f>G34*(1-Inputs!B22)</f>
        <v>682.70037563519998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114</v>
      </c>
      <c r="C41" s="6">
        <f>C35*(1-Inputs!B22)</f>
        <v>2570.6565923583998</v>
      </c>
      <c r="D41" s="6">
        <f>D35*(1-Inputs!B22)</f>
        <v>834.18075900902795</v>
      </c>
      <c r="E41" s="6">
        <f>E35*(1-Inputs!B22)</f>
        <v>945.3234032481688</v>
      </c>
      <c r="F41" s="6">
        <f>F35*(1-Inputs!B22)</f>
        <v>255.99109413150001</v>
      </c>
      <c r="G41" s="6">
        <f>G35*(1-Inputs!B22)</f>
        <v>709.7458135930558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115</v>
      </c>
      <c r="C42" s="6">
        <f>C36*(1-Inputs!B22)</f>
        <v>2698.7043924305926</v>
      </c>
      <c r="D42" s="6">
        <f>D36*(1-Inputs!B22)</f>
        <v>948.08957989439864</v>
      </c>
      <c r="E42" s="6">
        <f>E36*(1-Inputs!B22)</f>
        <v>1017.7981974971948</v>
      </c>
      <c r="F42" s="6">
        <f>F36*(1-Inputs!B22)</f>
        <v>296.85121107941245</v>
      </c>
      <c r="G42" s="6">
        <f>G36*(1-Inputs!B22)</f>
        <v>737.59998891897214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116</v>
      </c>
      <c r="C43" s="6">
        <f>C37*(1-Inputs!B22)</f>
        <v>2832.8829659607868</v>
      </c>
      <c r="D43" s="6">
        <f>D37*(1-Inputs!B22)</f>
        <v>1068.0821673497835</v>
      </c>
      <c r="E43" s="6">
        <f>E37*(1-Inputs!B22)</f>
        <v>1094.881443337056</v>
      </c>
      <c r="F43" s="6">
        <f>F37*(1-Inputs!B22)</f>
        <v>341.15736198678752</v>
      </c>
      <c r="G43" s="6">
        <f>G37*(1-Inputs!B22)</f>
        <v>766.28443293248768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117</v>
      </c>
      <c r="C45" s="6">
        <f t="shared" ref="C45:J45" si="11">C21*IF(ISBLANK(C26),C12,C12+(C26-C12)*(0)/4)</f>
        <v>660.58719999999994</v>
      </c>
      <c r="D45" s="6">
        <f t="shared" si="11"/>
        <v>96.011450000000011</v>
      </c>
      <c r="E45" s="6">
        <f t="shared" si="11"/>
        <v>427.29422999999997</v>
      </c>
      <c r="F45" s="6">
        <f t="shared" si="11"/>
        <v>108.423</v>
      </c>
      <c r="G45" s="6">
        <f t="shared" si="11"/>
        <v>510.48144000000002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118</v>
      </c>
      <c r="C46" s="6">
        <f t="shared" ref="C46:J46" si="12">C22*IF(ISBLANK(C26),C12,C12+(C26-C12)*(1)/4)</f>
        <v>687.01068799999996</v>
      </c>
      <c r="D46" s="6">
        <f t="shared" si="12"/>
        <v>98.891793500000006</v>
      </c>
      <c r="E46" s="6">
        <f t="shared" si="12"/>
        <v>446.52247034999994</v>
      </c>
      <c r="F46" s="6">
        <f t="shared" si="12"/>
        <v>113.84415</v>
      </c>
      <c r="G46" s="6">
        <f t="shared" si="12"/>
        <v>520.69106880000004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119</v>
      </c>
      <c r="C47" s="6">
        <f t="shared" ref="C47:J47" si="13">C23*IF(ISBLANK(C26),C12,C12+(C26-C12)*(2)/4)</f>
        <v>714.49111551999999</v>
      </c>
      <c r="D47" s="6">
        <f t="shared" si="13"/>
        <v>101.858547305</v>
      </c>
      <c r="E47" s="6">
        <f t="shared" si="13"/>
        <v>466.61598151574992</v>
      </c>
      <c r="F47" s="6">
        <f t="shared" si="13"/>
        <v>119.53635750000001</v>
      </c>
      <c r="G47" s="6">
        <f t="shared" si="13"/>
        <v>531.10489017599991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120</v>
      </c>
      <c r="C48" s="6">
        <f t="shared" ref="C48:J48" si="14">C24*IF(ISBLANK(C26),C12,C12+(C26-C12)*(3)/4)</f>
        <v>743.07076014080008</v>
      </c>
      <c r="D48" s="6">
        <f t="shared" si="14"/>
        <v>104.91430372415</v>
      </c>
      <c r="E48" s="6">
        <f t="shared" si="14"/>
        <v>487.61370068395848</v>
      </c>
      <c r="F48" s="6">
        <f t="shared" si="14"/>
        <v>125.51317537499999</v>
      </c>
      <c r="G48" s="6">
        <f t="shared" si="14"/>
        <v>541.72698797952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121</v>
      </c>
      <c r="C49" s="6">
        <f t="shared" ref="C49:J49" si="15">C25*IF(ISBLANK(C26),C12,C12+(C26-C12)*(4)/4)</f>
        <v>772.79359054643214</v>
      </c>
      <c r="D49" s="6">
        <f t="shared" si="15"/>
        <v>108.06173283587448</v>
      </c>
      <c r="E49" s="6">
        <f t="shared" si="15"/>
        <v>509.55631721473668</v>
      </c>
      <c r="F49" s="6">
        <f t="shared" si="15"/>
        <v>131.78883414375002</v>
      </c>
      <c r="G49" s="6">
        <f t="shared" si="15"/>
        <v>552.56152773911037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122</v>
      </c>
      <c r="C51" s="6">
        <f t="shared" ref="C51:J55" si="16">C39-C45</f>
        <v>1671.2856160000001</v>
      </c>
      <c r="D51" s="6">
        <f t="shared" si="16"/>
        <v>527.60212004000005</v>
      </c>
      <c r="E51" s="6">
        <f t="shared" si="16"/>
        <v>385.90242371999989</v>
      </c>
      <c r="F51" s="6">
        <f t="shared" si="16"/>
        <v>75.288931199999979</v>
      </c>
      <c r="G51" s="6">
        <f t="shared" si="16"/>
        <v>145.96122887999991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123</v>
      </c>
      <c r="C52" s="6">
        <f t="shared" si="16"/>
        <v>1761.4557688</v>
      </c>
      <c r="D52" s="6">
        <f t="shared" si="16"/>
        <v>627.21131109440012</v>
      </c>
      <c r="E52" s="6">
        <f t="shared" si="16"/>
        <v>430.68062966279979</v>
      </c>
      <c r="F52" s="6">
        <f t="shared" si="16"/>
        <v>104.50513489499996</v>
      </c>
      <c r="G52" s="6">
        <f t="shared" si="16"/>
        <v>162.00930683519994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124</v>
      </c>
      <c r="C53" s="6">
        <f t="shared" si="16"/>
        <v>1856.1654768383999</v>
      </c>
      <c r="D53" s="6">
        <f t="shared" si="16"/>
        <v>732.32221170402795</v>
      </c>
      <c r="E53" s="6">
        <f t="shared" si="16"/>
        <v>478.70742173241888</v>
      </c>
      <c r="F53" s="6">
        <f t="shared" si="16"/>
        <v>136.4547366315</v>
      </c>
      <c r="G53" s="6">
        <f t="shared" si="16"/>
        <v>178.64092341705589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125</v>
      </c>
      <c r="C54" s="6">
        <f t="shared" si="16"/>
        <v>1955.6336322897926</v>
      </c>
      <c r="D54" s="6">
        <f t="shared" si="16"/>
        <v>843.17527617024859</v>
      </c>
      <c r="E54" s="6">
        <f t="shared" si="16"/>
        <v>530.18449681323636</v>
      </c>
      <c r="F54" s="6">
        <f t="shared" si="16"/>
        <v>171.33803570441245</v>
      </c>
      <c r="G54" s="6">
        <f t="shared" si="16"/>
        <v>195.87300093945214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126</v>
      </c>
      <c r="C55" s="6">
        <f t="shared" si="16"/>
        <v>2060.0893754143544</v>
      </c>
      <c r="D55" s="6">
        <f t="shared" si="16"/>
        <v>960.02043451390898</v>
      </c>
      <c r="E55" s="6">
        <f t="shared" si="16"/>
        <v>585.32512612231926</v>
      </c>
      <c r="F55" s="6">
        <f t="shared" si="16"/>
        <v>209.3685278430375</v>
      </c>
      <c r="G55" s="6">
        <f t="shared" si="16"/>
        <v>213.7229051933773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127</v>
      </c>
      <c r="C57" s="6">
        <f t="shared" ref="C57:J57" si="17">C51/((1+C16))</f>
        <v>1548.2131047545129</v>
      </c>
      <c r="D57" s="6">
        <f t="shared" si="17"/>
        <v>488.74980345800543</v>
      </c>
      <c r="E57" s="6">
        <f t="shared" si="17"/>
        <v>357.4847912529587</v>
      </c>
      <c r="F57" s="6">
        <f t="shared" si="17"/>
        <v>69.744697621331568</v>
      </c>
      <c r="G57" s="6">
        <f t="shared" si="17"/>
        <v>135.21272795905443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128</v>
      </c>
      <c r="C58" s="6">
        <f t="shared" ref="C58:J58" si="18">C52/((1+C16)*(1+C16+(C104-C16)*1/5))</f>
        <v>1513.1305057844627</v>
      </c>
      <c r="D58" s="6">
        <f t="shared" si="18"/>
        <v>538.78875938880492</v>
      </c>
      <c r="E58" s="6">
        <f t="shared" si="18"/>
        <v>369.96444108114076</v>
      </c>
      <c r="F58" s="6">
        <f t="shared" si="18"/>
        <v>89.772284051430674</v>
      </c>
      <c r="G58" s="6">
        <f t="shared" si="18"/>
        <v>139.16967359352992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129</v>
      </c>
      <c r="C59" s="6">
        <f t="shared" ref="C59:J59" si="19">C53/((1+C16)*(1+C16+(C104-C16)*1/5)*(1+C16+(C104-C16)*2/5))</f>
        <v>1480.099423104069</v>
      </c>
      <c r="D59" s="6">
        <f t="shared" si="19"/>
        <v>583.95099822438635</v>
      </c>
      <c r="E59" s="6">
        <f t="shared" si="19"/>
        <v>381.71951131675712</v>
      </c>
      <c r="F59" s="6">
        <f t="shared" si="19"/>
        <v>108.80849767344547</v>
      </c>
      <c r="G59" s="6">
        <f t="shared" si="19"/>
        <v>142.44760555655037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130</v>
      </c>
      <c r="C60" s="6">
        <f t="shared" ref="C60:J60" si="20">C54/((1+C16)*(1+C16+(C104-C16)*1/5)*(1+C16+(C104-C16)*2/5)*(1+C16+(C104-C16)*3/5))</f>
        <v>1449.027670167816</v>
      </c>
      <c r="D60" s="6">
        <f t="shared" si="20"/>
        <v>624.75112198879992</v>
      </c>
      <c r="E60" s="6">
        <f t="shared" si="20"/>
        <v>392.84045513006271</v>
      </c>
      <c r="F60" s="6">
        <f t="shared" si="20"/>
        <v>126.95299906312145</v>
      </c>
      <c r="G60" s="6">
        <f t="shared" si="20"/>
        <v>145.13219322565553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131</v>
      </c>
      <c r="C61" s="6">
        <f t="shared" ref="C61:J61" si="21">C55/((1+C16)*(1+C16+(C104-C16)*1/5)*(1+C16+(C104-C16)*2/5)*(1+C16+(C104-C16)*3/5)*(1+C16+(C104-C16)*4/5))</f>
        <v>1419.8292296251368</v>
      </c>
      <c r="D61" s="6">
        <f t="shared" si="21"/>
        <v>661.65336816326885</v>
      </c>
      <c r="E61" s="6">
        <f t="shared" si="21"/>
        <v>403.41051840788879</v>
      </c>
      <c r="F61" s="6">
        <f t="shared" si="21"/>
        <v>144.29837809116327</v>
      </c>
      <c r="G61" s="6">
        <f t="shared" si="21"/>
        <v>147.2994480023105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132</v>
      </c>
    </row>
    <row r="63" spans="1:10" x14ac:dyDescent="0.25">
      <c r="A63" s="4" t="s">
        <v>133</v>
      </c>
      <c r="C63" s="6">
        <f t="shared" ref="C63:J63" si="22">C25*(1+(C6+(C13-C6)*1/5))</f>
        <v>30822.575130640391</v>
      </c>
      <c r="D63" s="6">
        <f t="shared" si="22"/>
        <v>22226.137209682664</v>
      </c>
      <c r="E63" s="6">
        <f t="shared" si="22"/>
        <v>23062.962009588733</v>
      </c>
      <c r="F63" s="6">
        <f t="shared" si="22"/>
        <v>9190.0747009575025</v>
      </c>
      <c r="G63" s="6">
        <f t="shared" si="22"/>
        <v>20109.292741648336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134</v>
      </c>
      <c r="C64" s="6">
        <f t="shared" ref="C64:J64" si="23">C63*(1+(C6+(C13-C6)*2/5))</f>
        <v>31870.542685082164</v>
      </c>
      <c r="D64" s="6">
        <f t="shared" si="23"/>
        <v>22821.797686902159</v>
      </c>
      <c r="E64" s="6">
        <f t="shared" si="23"/>
        <v>23916.291603943515</v>
      </c>
      <c r="F64" s="6">
        <f t="shared" si="23"/>
        <v>9576.0578383977172</v>
      </c>
      <c r="G64" s="6">
        <f t="shared" si="23"/>
        <v>20471.260010998005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135</v>
      </c>
      <c r="C65" s="6">
        <f t="shared" ref="C65:J65" si="24">C64*(1+(C6+(C13-C6)*3/5))</f>
        <v>32858.529508319705</v>
      </c>
      <c r="D65" s="6">
        <f t="shared" si="24"/>
        <v>23396.906988612089</v>
      </c>
      <c r="E65" s="6">
        <f t="shared" si="24"/>
        <v>24705.529226873648</v>
      </c>
      <c r="F65" s="6">
        <f t="shared" si="24"/>
        <v>9939.9480362568302</v>
      </c>
      <c r="G65" s="6">
        <f t="shared" si="24"/>
        <v>20819.27143118497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136</v>
      </c>
      <c r="C66" s="6">
        <f t="shared" ref="C66:J66" si="25">C65*(1+(C6+(C13-C6)*4/5))</f>
        <v>33778.568334552656</v>
      </c>
      <c r="D66" s="6">
        <f t="shared" si="25"/>
        <v>23949.073993543334</v>
      </c>
      <c r="E66" s="6">
        <f t="shared" si="25"/>
        <v>25421.989574452982</v>
      </c>
      <c r="F66" s="6">
        <f t="shared" si="25"/>
        <v>10277.906269489562</v>
      </c>
      <c r="G66" s="6">
        <f t="shared" si="25"/>
        <v>21152.379774083929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137</v>
      </c>
      <c r="C67" s="6">
        <f t="shared" ref="C67:J67" si="26">C66*(1+(C6+(C13-C6)*5/5))</f>
        <v>34623.032542916466</v>
      </c>
      <c r="D67" s="6">
        <f t="shared" si="26"/>
        <v>24475.953621401288</v>
      </c>
      <c r="E67" s="6">
        <f t="shared" si="26"/>
        <v>26057.539313814304</v>
      </c>
      <c r="F67" s="6">
        <f t="shared" si="26"/>
        <v>10586.24345757425</v>
      </c>
      <c r="G67" s="6">
        <f t="shared" si="26"/>
        <v>21469.665470695185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138</v>
      </c>
      <c r="C69" s="11">
        <f t="shared" ref="C69:J69" si="27">IF(ISBLANK(C9),C7,C9)</f>
        <v>0.13500000000000001</v>
      </c>
      <c r="D69" s="11">
        <f t="shared" si="27"/>
        <v>7.0000000000000007E-2</v>
      </c>
      <c r="E69" s="11">
        <f t="shared" si="27"/>
        <v>7.0000000000000007E-2</v>
      </c>
      <c r="F69" s="11">
        <f t="shared" si="27"/>
        <v>5.5E-2</v>
      </c>
      <c r="G69" s="11">
        <f t="shared" si="27"/>
        <v>5.5E-2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139</v>
      </c>
      <c r="C70" s="11">
        <f t="shared" ref="C70:J70" si="28">IF(ISBLANK(C9),C7,C9)</f>
        <v>0.13500000000000001</v>
      </c>
      <c r="D70" s="11">
        <f t="shared" si="28"/>
        <v>7.0000000000000007E-2</v>
      </c>
      <c r="E70" s="11">
        <f t="shared" si="28"/>
        <v>7.0000000000000007E-2</v>
      </c>
      <c r="F70" s="11">
        <f t="shared" si="28"/>
        <v>5.5E-2</v>
      </c>
      <c r="G70" s="11">
        <f t="shared" si="28"/>
        <v>5.5E-2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140</v>
      </c>
      <c r="C71" s="11">
        <f t="shared" ref="C71:J71" si="29">IF(ISBLANK(C9),C7,C9)</f>
        <v>0.13500000000000001</v>
      </c>
      <c r="D71" s="11">
        <f t="shared" si="29"/>
        <v>7.0000000000000007E-2</v>
      </c>
      <c r="E71" s="11">
        <f t="shared" si="29"/>
        <v>7.0000000000000007E-2</v>
      </c>
      <c r="F71" s="11">
        <f t="shared" si="29"/>
        <v>5.5E-2</v>
      </c>
      <c r="G71" s="11">
        <f t="shared" si="29"/>
        <v>5.5E-2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141</v>
      </c>
      <c r="C72" s="11">
        <f t="shared" ref="C72:J72" si="30">IF(ISBLANK(C9),C7,C9)</f>
        <v>0.13500000000000001</v>
      </c>
      <c r="D72" s="11">
        <f t="shared" si="30"/>
        <v>7.0000000000000007E-2</v>
      </c>
      <c r="E72" s="11">
        <f t="shared" si="30"/>
        <v>7.0000000000000007E-2</v>
      </c>
      <c r="F72" s="11">
        <f t="shared" si="30"/>
        <v>5.5E-2</v>
      </c>
      <c r="G72" s="11">
        <f t="shared" si="30"/>
        <v>5.5E-2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142</v>
      </c>
      <c r="C73" s="11">
        <f t="shared" ref="C73:J73" si="31">IF(ISBLANK(C9),C7,C9)</f>
        <v>0.13500000000000001</v>
      </c>
      <c r="D73" s="11">
        <f t="shared" si="31"/>
        <v>7.0000000000000007E-2</v>
      </c>
      <c r="E73" s="11">
        <f t="shared" si="31"/>
        <v>7.0000000000000007E-2</v>
      </c>
      <c r="F73" s="11">
        <f t="shared" si="31"/>
        <v>5.5E-2</v>
      </c>
      <c r="G73" s="11">
        <f t="shared" si="31"/>
        <v>5.5E-2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143</v>
      </c>
      <c r="C75" s="6">
        <f t="shared" ref="C75:J79" si="32">C63*C69</f>
        <v>4161.047642636453</v>
      </c>
      <c r="D75" s="6">
        <f t="shared" si="32"/>
        <v>1555.8296046777866</v>
      </c>
      <c r="E75" s="6">
        <f t="shared" si="32"/>
        <v>1614.4073406712114</v>
      </c>
      <c r="F75" s="6">
        <f t="shared" si="32"/>
        <v>505.45410855266266</v>
      </c>
      <c r="G75" s="6">
        <f t="shared" si="32"/>
        <v>1106.0111007906585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144</v>
      </c>
      <c r="C76" s="6">
        <f t="shared" si="32"/>
        <v>4302.5232624860928</v>
      </c>
      <c r="D76" s="6">
        <f t="shared" si="32"/>
        <v>1597.5258380831513</v>
      </c>
      <c r="E76" s="6">
        <f t="shared" si="32"/>
        <v>1674.1404122760462</v>
      </c>
      <c r="F76" s="6">
        <f t="shared" si="32"/>
        <v>526.68318111187443</v>
      </c>
      <c r="G76" s="6">
        <f t="shared" si="32"/>
        <v>1125.9193006048902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145</v>
      </c>
      <c r="C77" s="6">
        <f t="shared" si="32"/>
        <v>4435.9014836231609</v>
      </c>
      <c r="D77" s="6">
        <f t="shared" si="32"/>
        <v>1637.7834892028463</v>
      </c>
      <c r="E77" s="6">
        <f t="shared" si="32"/>
        <v>1729.3870458811555</v>
      </c>
      <c r="F77" s="6">
        <f t="shared" si="32"/>
        <v>546.69714199412567</v>
      </c>
      <c r="G77" s="6">
        <f t="shared" si="32"/>
        <v>1145.0599287151733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146</v>
      </c>
      <c r="C78" s="6">
        <f t="shared" si="32"/>
        <v>4560.1067251646091</v>
      </c>
      <c r="D78" s="6">
        <f t="shared" si="32"/>
        <v>1676.4351795480336</v>
      </c>
      <c r="E78" s="6">
        <f t="shared" si="32"/>
        <v>1779.539270211709</v>
      </c>
      <c r="F78" s="6">
        <f t="shared" si="32"/>
        <v>565.28484482192596</v>
      </c>
      <c r="G78" s="6">
        <f t="shared" si="32"/>
        <v>1163.3808875746161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147</v>
      </c>
      <c r="C79" s="6">
        <f t="shared" si="32"/>
        <v>4674.1093932937229</v>
      </c>
      <c r="D79" s="6">
        <f t="shared" si="32"/>
        <v>1713.3167534980903</v>
      </c>
      <c r="E79" s="6">
        <f t="shared" si="32"/>
        <v>1824.0277519670014</v>
      </c>
      <c r="F79" s="6">
        <f t="shared" si="32"/>
        <v>582.24339016658371</v>
      </c>
      <c r="G79" s="6">
        <f t="shared" si="32"/>
        <v>1180.8316008882352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148</v>
      </c>
      <c r="C81" s="6">
        <f>C75*(1-Inputs!B22)</f>
        <v>2937.6996357013359</v>
      </c>
      <c r="D81" s="6">
        <f>D75*(1-Inputs!B22)</f>
        <v>1098.4157009025173</v>
      </c>
      <c r="E81" s="6">
        <f>E75*(1-Inputs!B22)</f>
        <v>1139.7715825138753</v>
      </c>
      <c r="F81" s="6">
        <f>F75*(1-Inputs!B22)</f>
        <v>356.8506006381798</v>
      </c>
      <c r="G81" s="6">
        <f>G75*(1-Inputs!B22)</f>
        <v>780.84383715820479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149</v>
      </c>
      <c r="C82" s="6">
        <f>C76*(1-Inputs!B22)</f>
        <v>3037.5814233151814</v>
      </c>
      <c r="D82" s="6">
        <f>D76*(1-Inputs!B22)</f>
        <v>1127.8532416867047</v>
      </c>
      <c r="E82" s="6">
        <f>E76*(1-Inputs!B22)</f>
        <v>1181.9431310668886</v>
      </c>
      <c r="F82" s="6">
        <f>F76*(1-Inputs!B22)</f>
        <v>371.83832586498335</v>
      </c>
      <c r="G82" s="6">
        <f>G76*(1-Inputs!B22)</f>
        <v>794.89902622705245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150</v>
      </c>
      <c r="C83" s="6">
        <f>C77*(1-Inputs!B22)</f>
        <v>3131.7464474379512</v>
      </c>
      <c r="D83" s="6">
        <f>D77*(1-Inputs!B22)</f>
        <v>1156.2751433772094</v>
      </c>
      <c r="E83" s="6">
        <f>E77*(1-Inputs!B22)</f>
        <v>1220.9472543920956</v>
      </c>
      <c r="F83" s="6">
        <f>F77*(1-Inputs!B22)</f>
        <v>385.96818224785272</v>
      </c>
      <c r="G83" s="6">
        <f>G77*(1-Inputs!B22)</f>
        <v>808.41230967291233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151</v>
      </c>
      <c r="C84" s="6">
        <f>C78*(1-Inputs!B22)</f>
        <v>3219.4353479662136</v>
      </c>
      <c r="D84" s="6">
        <f>D78*(1-Inputs!B22)</f>
        <v>1183.5632367609116</v>
      </c>
      <c r="E84" s="6">
        <f>E78*(1-Inputs!B22)</f>
        <v>1256.3547247694664</v>
      </c>
      <c r="F84" s="6">
        <f>F78*(1-Inputs!B22)</f>
        <v>399.09110044427973</v>
      </c>
      <c r="G84" s="6">
        <f>G78*(1-Inputs!B22)</f>
        <v>821.34690662767889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152</v>
      </c>
      <c r="C85" s="6">
        <f>C79*(1-Inputs!B22)</f>
        <v>3299.9212316653679</v>
      </c>
      <c r="D85" s="6">
        <f>D79*(1-Inputs!B22)</f>
        <v>1209.6016279696516</v>
      </c>
      <c r="E85" s="6">
        <f>E79*(1-Inputs!B22)</f>
        <v>1287.763592888703</v>
      </c>
      <c r="F85" s="6">
        <f>F79*(1-Inputs!B22)</f>
        <v>411.0638334576081</v>
      </c>
      <c r="G85" s="6">
        <f>G79*(1-Inputs!B22)</f>
        <v>833.66711022709399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153</v>
      </c>
      <c r="C87" s="6">
        <f t="shared" ref="C87:J87" si="33">C63*MAX(IF(ISBLANK(C26),C12,C26),0)</f>
        <v>801.38695339665014</v>
      </c>
      <c r="D87" s="6">
        <f t="shared" si="33"/>
        <v>111.13068604841332</v>
      </c>
      <c r="E87" s="6">
        <f t="shared" si="33"/>
        <v>530.44812622054087</v>
      </c>
      <c r="F87" s="6">
        <f t="shared" si="33"/>
        <v>137.85112051436252</v>
      </c>
      <c r="G87" s="6">
        <f t="shared" si="33"/>
        <v>563.06019676615347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154</v>
      </c>
      <c r="C88" s="6">
        <f t="shared" ref="C88:J88" si="34">C64*MAX(IF(ISBLANK(C26),C12,C26),0)</f>
        <v>828.63410981213622</v>
      </c>
      <c r="D88" s="6">
        <f t="shared" si="34"/>
        <v>114.10898843451079</v>
      </c>
      <c r="E88" s="6">
        <f t="shared" si="34"/>
        <v>550.07470689070078</v>
      </c>
      <c r="F88" s="6">
        <f t="shared" si="34"/>
        <v>143.64086757596576</v>
      </c>
      <c r="G88" s="6">
        <f t="shared" si="34"/>
        <v>573.19528030794413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155</v>
      </c>
      <c r="C89" s="6">
        <f t="shared" ref="C89:J89" si="35">C65*MAX(IF(ISBLANK(C26),C12,C26),0)</f>
        <v>854.32176721631231</v>
      </c>
      <c r="D89" s="6">
        <f t="shared" si="35"/>
        <v>116.98453494306045</v>
      </c>
      <c r="E89" s="6">
        <f t="shared" si="35"/>
        <v>568.22717221809387</v>
      </c>
      <c r="F89" s="6">
        <f t="shared" si="35"/>
        <v>149.09922054385245</v>
      </c>
      <c r="G89" s="6">
        <f t="shared" si="35"/>
        <v>582.93960007317924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156</v>
      </c>
      <c r="C90" s="6">
        <f t="shared" ref="C90:J90" si="36">C66*MAX(IF(ISBLANK(C26),C12,C26),0)</f>
        <v>878.24277669836897</v>
      </c>
      <c r="D90" s="6">
        <f t="shared" si="36"/>
        <v>119.74536996771667</v>
      </c>
      <c r="E90" s="6">
        <f t="shared" si="36"/>
        <v>584.70576021241857</v>
      </c>
      <c r="F90" s="6">
        <f t="shared" si="36"/>
        <v>154.16859404234341</v>
      </c>
      <c r="G90" s="6">
        <f t="shared" si="36"/>
        <v>592.26663367435003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157</v>
      </c>
      <c r="C91" s="6">
        <f t="shared" ref="C91:J91" si="37">C67*MAX(IF(ISBLANK(C26),C12,C26),0)</f>
        <v>900.19884611582802</v>
      </c>
      <c r="D91" s="6">
        <f t="shared" si="37"/>
        <v>122.37976810700644</v>
      </c>
      <c r="E91" s="6">
        <f t="shared" si="37"/>
        <v>599.32340421772903</v>
      </c>
      <c r="F91" s="6">
        <f t="shared" si="37"/>
        <v>158.79365186361375</v>
      </c>
      <c r="G91" s="6">
        <f t="shared" si="37"/>
        <v>601.15063317946522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158</v>
      </c>
      <c r="C93" s="6">
        <f t="shared" ref="C93:J97" si="38">C81-C87</f>
        <v>2136.3126823046859</v>
      </c>
      <c r="D93" s="6">
        <f t="shared" si="38"/>
        <v>987.28501485410402</v>
      </c>
      <c r="E93" s="6">
        <f t="shared" si="38"/>
        <v>609.3234562933344</v>
      </c>
      <c r="F93" s="6">
        <f t="shared" si="38"/>
        <v>218.99948012381728</v>
      </c>
      <c r="G93" s="6">
        <f t="shared" si="38"/>
        <v>217.78364039205132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159</v>
      </c>
      <c r="C94" s="6">
        <f t="shared" si="38"/>
        <v>2208.9473135030453</v>
      </c>
      <c r="D94" s="6">
        <f t="shared" si="38"/>
        <v>1013.7442532521939</v>
      </c>
      <c r="E94" s="6">
        <f t="shared" si="38"/>
        <v>631.86842417618777</v>
      </c>
      <c r="F94" s="6">
        <f t="shared" si="38"/>
        <v>228.19745828901759</v>
      </c>
      <c r="G94" s="6">
        <f t="shared" si="38"/>
        <v>221.70374591910831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160</v>
      </c>
      <c r="C95" s="6">
        <f t="shared" si="38"/>
        <v>2277.4246802216389</v>
      </c>
      <c r="D95" s="6">
        <f t="shared" si="38"/>
        <v>1039.2906084341489</v>
      </c>
      <c r="E95" s="6">
        <f t="shared" si="38"/>
        <v>652.72008217400173</v>
      </c>
      <c r="F95" s="6">
        <f t="shared" si="38"/>
        <v>236.86896170400027</v>
      </c>
      <c r="G95" s="6">
        <f t="shared" si="38"/>
        <v>225.47270959973309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161</v>
      </c>
      <c r="C96" s="6">
        <f t="shared" si="38"/>
        <v>2341.1925712678449</v>
      </c>
      <c r="D96" s="6">
        <f t="shared" si="38"/>
        <v>1063.817866793195</v>
      </c>
      <c r="E96" s="6">
        <f t="shared" si="38"/>
        <v>671.64896455704786</v>
      </c>
      <c r="F96" s="6">
        <f t="shared" si="38"/>
        <v>244.92250640193632</v>
      </c>
      <c r="G96" s="6">
        <f t="shared" si="38"/>
        <v>229.08027295332886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162</v>
      </c>
      <c r="C97" s="6">
        <f t="shared" si="38"/>
        <v>2399.7223855495399</v>
      </c>
      <c r="D97" s="6">
        <f t="shared" si="38"/>
        <v>1087.2218598626453</v>
      </c>
      <c r="E97" s="6">
        <f t="shared" si="38"/>
        <v>688.44018867097395</v>
      </c>
      <c r="F97" s="6">
        <f t="shared" si="38"/>
        <v>252.27018159399435</v>
      </c>
      <c r="G97" s="6">
        <f t="shared" si="38"/>
        <v>232.51647704762877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163</v>
      </c>
      <c r="C99" s="6">
        <f t="shared" ref="C99:J99" si="39">C93/(((1+C16)*(1+C16+(C104-C16)*1/5)*(1+C16+(C104-C16)*2/5)*(1+C16+(C104-C16)*3/5)*(1+C16+(C104-C16)*4/5))*(1+C104)^1)</f>
        <v>1370.951473770263</v>
      </c>
      <c r="D99" s="6">
        <f t="shared" si="39"/>
        <v>633.57759252982225</v>
      </c>
      <c r="E99" s="6">
        <f t="shared" si="39"/>
        <v>391.02557286087261</v>
      </c>
      <c r="F99" s="6">
        <f t="shared" si="39"/>
        <v>140.54012903521587</v>
      </c>
      <c r="G99" s="6">
        <f t="shared" si="39"/>
        <v>139.75987936205721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164</v>
      </c>
      <c r="C100" s="6">
        <f t="shared" ref="C100:J100" si="40">C94/(((1+C16)*(1+C16+(C104-C16)*1/5)*(1+C16+(C104-C16)*2/5)*(1+C16+(C104-C16)*3/5)*(1+C16+(C104-C16)*4/5))*(1+C104)^2)</f>
        <v>1319.9267645431132</v>
      </c>
      <c r="D100" s="6">
        <f t="shared" si="40"/>
        <v>605.7492472047129</v>
      </c>
      <c r="E100" s="6">
        <f t="shared" si="40"/>
        <v>377.56448043896779</v>
      </c>
      <c r="F100" s="6">
        <f t="shared" si="40"/>
        <v>136.35632274032042</v>
      </c>
      <c r="G100" s="6">
        <f t="shared" si="40"/>
        <v>132.47609223147441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165</v>
      </c>
      <c r="C101" s="6">
        <f t="shared" ref="C101:J101" si="41">C95/(((1+C16)*(1+C16+(C104-C16)*1/5)*(1+C16+(C104-C16)*2/5)*(1+C16+(C104-C16)*3/5)*(1+C16+(C104-C16)*4/5))*(1+C104)^3)</f>
        <v>1267.1140728036387</v>
      </c>
      <c r="D101" s="6">
        <f t="shared" si="41"/>
        <v>578.24075022819443</v>
      </c>
      <c r="E101" s="6">
        <f t="shared" si="41"/>
        <v>363.16055099733728</v>
      </c>
      <c r="F101" s="6">
        <f t="shared" si="41"/>
        <v>131.78920795585447</v>
      </c>
      <c r="G101" s="6">
        <f t="shared" si="41"/>
        <v>125.44855856185137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166</v>
      </c>
      <c r="C102" s="6">
        <f t="shared" ref="C102:J102" si="42">C96/(((1+C16)*(1+C16+(C104-C16)*1/5)*(1+C16+(C104-C16)*2/5)*(1+C16+(C104-C16)*3/5)*(1+C16+(C104-C16)*4/5))*(1+C104)^4)</f>
        <v>1212.8749952961648</v>
      </c>
      <c r="D102" s="6">
        <f t="shared" si="42"/>
        <v>551.1200172158575</v>
      </c>
      <c r="E102" s="6">
        <f t="shared" si="42"/>
        <v>347.95353646908774</v>
      </c>
      <c r="F102" s="6">
        <f t="shared" si="42"/>
        <v>126.88421595294226</v>
      </c>
      <c r="G102" s="6">
        <f t="shared" si="42"/>
        <v>118.6770103367656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167</v>
      </c>
      <c r="C103" s="6">
        <f t="shared" ref="C103:J103" si="43">C97/(((1+C16)*(1+C16+(C104-C16)*1/5)*(1+C16+(C104-C16)*2/5)*(1+C16+(C104-C16)*3/5)*(1+C16+(C104-C16)*4/5))*(1+C104)^5)</f>
        <v>1157.5696239590425</v>
      </c>
      <c r="D103" s="6">
        <f t="shared" si="43"/>
        <v>524.45024768689927</v>
      </c>
      <c r="E103" s="6">
        <f t="shared" si="43"/>
        <v>332.08735106900974</v>
      </c>
      <c r="F103" s="6">
        <f t="shared" si="43"/>
        <v>121.68920080185289</v>
      </c>
      <c r="G103" s="6">
        <f t="shared" si="43"/>
        <v>112.16047844578836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168</v>
      </c>
      <c r="C104" s="11">
        <f>MAX((Inputs!B18+((1+(1-Inputs!B22)*(Inputs!B36/(1-Inputs!B36)))/(1+(1-Inputs!B22)*0.25))*Inputs!B19+IF(ISBLANK(C17),Inputs!B24,C17)+Inputs!B25+Inputs!B39)*(1-Inputs!B36)+Inputs!B38*Inputs!B36,C15)</f>
        <v>7.3971573240380117E-2</v>
      </c>
      <c r="D104" s="11">
        <f>MAX((Inputs!B18+((1+(1-Inputs!B22)*(Inputs!B36/(1-Inputs!B36)))/(1+(1-Inputs!B22)*0.25))*Inputs!B19+IF(ISBLANK(D17),Inputs!B24,D17)+Inputs!B25+Inputs!B39)*(1-Inputs!B36)+Inputs!B38*Inputs!B36,D15)</f>
        <v>7.3971573240380117E-2</v>
      </c>
      <c r="E104" s="11">
        <f>MAX((Inputs!B18+((1+(1-Inputs!B22)*(Inputs!B36/(1-Inputs!B36)))/(1+(1-Inputs!B22)*0.25))*Inputs!B19+IF(ISBLANK(E17),Inputs!B24,E17)+Inputs!B25+Inputs!B39)*(1-Inputs!B36)+Inputs!B38*Inputs!B36,E15)</f>
        <v>7.3971573240380117E-2</v>
      </c>
      <c r="F104" s="11">
        <f>MAX((Inputs!B18+((1+(1-Inputs!B22)*(Inputs!B36/(1-Inputs!B36)))/(1+(1-Inputs!B22)*0.25))*Inputs!B19+IF(ISBLANK(F17),Inputs!B24,F17)+Inputs!B25+Inputs!B39)*(1-Inputs!B36)+Inputs!B38*Inputs!B36,F15)</f>
        <v>7.3971573240380117E-2</v>
      </c>
      <c r="G104" s="11">
        <f>MAX((Inputs!B18+((1+(1-Inputs!B22)*(Inputs!B36/(1-Inputs!B36)))/(1+(1-Inputs!B22)*0.25))*Inputs!B19+IF(ISBLANK(G17),Inputs!B24,G17)+Inputs!B25+Inputs!B39)*(1-Inputs!B36)+Inputs!B38*Inputs!B36,G15)</f>
        <v>7.3971573240380117E-2</v>
      </c>
      <c r="H104" s="11">
        <f>MAX((Inputs!B18+((1+(1-Inputs!B22)*(Inputs!B36/(1-Inputs!B36)))/(1+(1-Inputs!B22)*0.25))*Inputs!B19+IF(ISBLANK(H17),Inputs!B24,H17)+Inputs!B25+Inputs!B39)*(1-Inputs!B36)+Inputs!B38*Inputs!B36,H15)</f>
        <v>7.3971573240380117E-2</v>
      </c>
      <c r="I104" s="11">
        <f>MAX((Inputs!B18+((1+(1-Inputs!B22)*(Inputs!B36/(1-Inputs!B36)))/(1+(1-Inputs!B22)*0.25))*Inputs!B19+IF(ISBLANK(I17),Inputs!B24,I17)+Inputs!B25+Inputs!B39)*(1-Inputs!B36)+Inputs!B38*Inputs!B36,I15)</f>
        <v>7.3971573240380117E-2</v>
      </c>
      <c r="J104" s="11">
        <f>MAX((Inputs!B18+((1+(1-Inputs!B22)*(Inputs!B36/(1-Inputs!B36)))/(1+(1-Inputs!B22)*0.25))*Inputs!B19+IF(ISBLANK(J17),Inputs!B24,J17)+Inputs!B25+Inputs!B39)*(1-Inputs!B36)+Inputs!B38*Inputs!B36,J15)</f>
        <v>7.3971573240380117E-2</v>
      </c>
    </row>
    <row r="105" spans="1:11" x14ac:dyDescent="0.25">
      <c r="A105" s="4" t="s">
        <v>169</v>
      </c>
      <c r="C105" s="6">
        <f t="shared" ref="C105:J105" si="44">SUM(C57:C61,C99:C103)</f>
        <v>13738.736863808219</v>
      </c>
      <c r="D105" s="6">
        <f t="shared" si="44"/>
        <v>5791.0319060887523</v>
      </c>
      <c r="E105" s="6">
        <f t="shared" si="44"/>
        <v>3717.211209024083</v>
      </c>
      <c r="F105" s="6">
        <f t="shared" si="44"/>
        <v>1196.8359329866782</v>
      </c>
      <c r="G105" s="6">
        <f t="shared" si="44"/>
        <v>1337.7836672750375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170</v>
      </c>
      <c r="C106" s="6">
        <f t="shared" ref="C106:J106" si="45">IF(C5=0,0,C97*(1+C13)/(C104-C13))</f>
        <v>50227.413220208531</v>
      </c>
      <c r="D106" s="6">
        <f t="shared" si="45"/>
        <v>21379.778819477902</v>
      </c>
      <c r="E106" s="6">
        <f t="shared" si="45"/>
        <v>14409.404205252176</v>
      </c>
      <c r="F106" s="6">
        <f t="shared" si="45"/>
        <v>5909.2333499497954</v>
      </c>
      <c r="G106" s="6">
        <f t="shared" si="45"/>
        <v>4001.9997981288711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171</v>
      </c>
      <c r="C107" s="6">
        <f t="shared" ref="C107:J107" si="46">C106/(((1+C16)*(1+C16+(C104-C16)*1/5)*(1+C16+(C104-C16)*2/5)*(1+C16+(C104-C16)*3/5)*(1+C16+(C104-C16)*4/5))*(1+C104)^5)</f>
        <v>24228.522509047518</v>
      </c>
      <c r="D107" s="6">
        <f t="shared" si="46"/>
        <v>10313.102331094467</v>
      </c>
      <c r="E107" s="6">
        <f t="shared" si="46"/>
        <v>6950.7575992078309</v>
      </c>
      <c r="F107" s="6">
        <f t="shared" si="46"/>
        <v>2850.4751499499671</v>
      </c>
      <c r="G107" s="6">
        <f t="shared" si="46"/>
        <v>1930.4705533024942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172</v>
      </c>
      <c r="C109" s="20">
        <f t="shared" ref="C109:J109" si="47">C105+C107</f>
        <v>37967.25937285574</v>
      </c>
      <c r="D109" s="20">
        <f t="shared" si="47"/>
        <v>16104.13423718322</v>
      </c>
      <c r="E109" s="20">
        <f t="shared" si="47"/>
        <v>10667.968808231913</v>
      </c>
      <c r="F109" s="20">
        <f t="shared" si="47"/>
        <v>4047.3110829366451</v>
      </c>
      <c r="G109" s="20">
        <f t="shared" si="47"/>
        <v>3268.2542205775317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72054.927721785061</v>
      </c>
    </row>
    <row r="110" spans="1:11" x14ac:dyDescent="0.25">
      <c r="A110" s="4" t="s">
        <v>173</v>
      </c>
      <c r="K110" s="11">
        <f>IFERROR(SUMPRODUCT(C109:J109,C16:J16)/SUM(C109:J109),0)</f>
        <v>7.9493262825082303E-2</v>
      </c>
    </row>
    <row r="111" spans="1:11" x14ac:dyDescent="0.25">
      <c r="A111" s="4" t="s">
        <v>174</v>
      </c>
      <c r="K111" s="5">
        <v>6727</v>
      </c>
    </row>
    <row r="112" spans="1:11" x14ac:dyDescent="0.25">
      <c r="A112" s="4" t="s">
        <v>175</v>
      </c>
      <c r="K112" s="5">
        <v>2075</v>
      </c>
    </row>
    <row r="113" spans="1:11" x14ac:dyDescent="0.25">
      <c r="A113" s="4" t="s">
        <v>176</v>
      </c>
      <c r="K113" s="5">
        <v>-5089.7667674192826</v>
      </c>
    </row>
    <row r="114" spans="1:11" x14ac:dyDescent="0.25">
      <c r="A114" s="4" t="s">
        <v>177</v>
      </c>
      <c r="K114" s="5">
        <v>0</v>
      </c>
    </row>
    <row r="115" spans="1:11" x14ac:dyDescent="0.25">
      <c r="A115" s="4" t="s">
        <v>178</v>
      </c>
      <c r="K115" s="5">
        <v>0</v>
      </c>
    </row>
    <row r="116" spans="1:11" x14ac:dyDescent="0.25">
      <c r="A116" s="4" t="s">
        <v>179</v>
      </c>
      <c r="K116" s="5">
        <v>-42.5</v>
      </c>
    </row>
    <row r="117" spans="1:11" x14ac:dyDescent="0.25">
      <c r="A117" s="4" t="s">
        <v>180</v>
      </c>
      <c r="K117" s="5">
        <v>0</v>
      </c>
    </row>
    <row r="118" spans="1:11" x14ac:dyDescent="0.25">
      <c r="A118" s="4" t="s">
        <v>181</v>
      </c>
      <c r="K118" s="5">
        <v>0</v>
      </c>
    </row>
    <row r="119" spans="1:11" x14ac:dyDescent="0.25">
      <c r="A119" s="4" t="s">
        <v>182</v>
      </c>
      <c r="K119" s="20">
        <f>K109+K113+K114+K115+K116+K117+K118-K111-K112</f>
        <v>58120.660954365783</v>
      </c>
    </row>
    <row r="120" spans="1:11" x14ac:dyDescent="0.25">
      <c r="A120" s="4" t="s">
        <v>183</v>
      </c>
      <c r="K120" s="6">
        <f>Inputs!B11</f>
        <v>1150</v>
      </c>
    </row>
    <row r="122" spans="1:11" ht="15.75" customHeight="1" x14ac:dyDescent="0.25">
      <c r="A122" s="4" t="s">
        <v>184</v>
      </c>
      <c r="K122" s="21">
        <f>K119/K120</f>
        <v>50.539705177709379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185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/>
      <c r="I4" s="14"/>
      <c r="J4" s="14"/>
    </row>
    <row r="5" spans="1:11" x14ac:dyDescent="0.25">
      <c r="A5" s="4" t="s">
        <v>65</v>
      </c>
      <c r="C5" s="5">
        <v>24430</v>
      </c>
      <c r="D5" s="5">
        <v>18643</v>
      </c>
      <c r="E5" s="5">
        <v>17778</v>
      </c>
      <c r="F5" s="5">
        <v>6884</v>
      </c>
      <c r="G5" s="5">
        <v>17874</v>
      </c>
      <c r="H5" s="5"/>
      <c r="I5" s="5"/>
      <c r="J5" s="5"/>
    </row>
    <row r="6" spans="1:11" x14ac:dyDescent="0.25">
      <c r="A6" s="4" t="s">
        <v>66</v>
      </c>
      <c r="C6" s="7">
        <v>0.06</v>
      </c>
      <c r="D6" s="7">
        <v>4.0944548843605107E-2</v>
      </c>
      <c r="E6" s="7">
        <v>0.06</v>
      </c>
      <c r="F6" s="7">
        <v>6.0944548843605111E-2</v>
      </c>
      <c r="G6" s="7">
        <v>3.0944548843605112E-2</v>
      </c>
      <c r="H6" s="7"/>
      <c r="I6" s="7"/>
      <c r="J6" s="7"/>
    </row>
    <row r="7" spans="1:11" x14ac:dyDescent="0.25">
      <c r="A7" s="4" t="s">
        <v>67</v>
      </c>
      <c r="C7" s="7">
        <v>0.15188909768721021</v>
      </c>
      <c r="D7" s="7">
        <v>6.7889097687210215E-2</v>
      </c>
      <c r="E7" s="7">
        <v>8.3889097687210215E-2</v>
      </c>
      <c r="F7" s="7">
        <v>5.7889097687210213E-2</v>
      </c>
      <c r="G7" s="7">
        <v>7.2889097687210219E-2</v>
      </c>
      <c r="H7" s="7"/>
      <c r="I7" s="7"/>
      <c r="J7" s="7"/>
    </row>
    <row r="8" spans="1:11" x14ac:dyDescent="0.25">
      <c r="A8" s="4" t="s">
        <v>68</v>
      </c>
      <c r="C8" s="15">
        <v>0.129</v>
      </c>
      <c r="D8" s="15">
        <v>4.1000000000000002E-2</v>
      </c>
      <c r="E8" s="15">
        <v>6.5000000000000002E-2</v>
      </c>
      <c r="F8" s="15">
        <v>5.5E-2</v>
      </c>
      <c r="G8" s="15">
        <v>5.8000000000000003E-2</v>
      </c>
      <c r="H8" s="15"/>
      <c r="I8" s="15"/>
      <c r="J8" s="15"/>
    </row>
    <row r="9" spans="1:11" x14ac:dyDescent="0.25">
      <c r="A9" s="4" t="s">
        <v>69</v>
      </c>
      <c r="C9" s="7">
        <v>0.15</v>
      </c>
      <c r="D9" s="7">
        <v>8.5000000000000006E-2</v>
      </c>
      <c r="E9" s="7">
        <v>9.1889097687210222E-2</v>
      </c>
      <c r="F9" s="7">
        <v>7.6889097687210223E-2</v>
      </c>
      <c r="G9" s="7">
        <v>7.6889097687210223E-2</v>
      </c>
      <c r="H9" s="7"/>
      <c r="I9" s="7"/>
      <c r="J9" s="7"/>
    </row>
    <row r="10" spans="1:11" x14ac:dyDescent="0.25">
      <c r="A10" s="4" t="s">
        <v>70</v>
      </c>
      <c r="C10" s="7">
        <v>0.10100000000000001</v>
      </c>
      <c r="D10" s="7">
        <v>1.6E-2</v>
      </c>
      <c r="E10" s="7">
        <v>0.09</v>
      </c>
      <c r="F10" s="7">
        <v>5.7000000000000002E-2</v>
      </c>
      <c r="G10" s="7">
        <v>6.7000000000000004E-2</v>
      </c>
      <c r="H10" s="7"/>
      <c r="I10" s="7"/>
      <c r="J10" s="7"/>
    </row>
    <row r="11" spans="1:11" x14ac:dyDescent="0.25">
      <c r="A11" s="4" t="s">
        <v>71</v>
      </c>
      <c r="C11" s="7">
        <v>7.4999999999999997E-2</v>
      </c>
      <c r="D11" s="7">
        <v>1.7999999999999999E-2</v>
      </c>
      <c r="E11" s="7">
        <v>6.7000000000000004E-2</v>
      </c>
      <c r="F11" s="7">
        <v>4.2000000000000003E-2</v>
      </c>
      <c r="G11" s="7">
        <v>3.9E-2</v>
      </c>
      <c r="H11" s="7"/>
      <c r="I11" s="7"/>
      <c r="J11" s="7"/>
    </row>
    <row r="12" spans="1:11" x14ac:dyDescent="0.25">
      <c r="A12" s="4" t="s">
        <v>72</v>
      </c>
      <c r="C12" s="7">
        <v>2.5999999999999999E-2</v>
      </c>
      <c r="D12" s="7">
        <v>5.0000000000000001E-3</v>
      </c>
      <c r="E12" s="7">
        <v>2.3E-2</v>
      </c>
      <c r="F12" s="7">
        <v>1.4999999999999999E-2</v>
      </c>
      <c r="G12" s="7">
        <v>2.8000000000000001E-2</v>
      </c>
      <c r="H12" s="7"/>
      <c r="I12" s="7"/>
      <c r="J12" s="7"/>
    </row>
    <row r="13" spans="1:11" x14ac:dyDescent="0.25">
      <c r="A13" s="4" t="s">
        <v>73</v>
      </c>
      <c r="C13" s="7">
        <v>2.9377819537442049E-2</v>
      </c>
      <c r="D13" s="7">
        <v>2.6377819537442039E-2</v>
      </c>
      <c r="E13" s="7">
        <v>2.9377819537442049E-2</v>
      </c>
      <c r="F13" s="7">
        <v>3.4377819537442039E-2</v>
      </c>
      <c r="G13" s="7">
        <v>1.937781953744204E-2</v>
      </c>
      <c r="H13" s="7"/>
      <c r="I13" s="7"/>
      <c r="J13" s="7"/>
    </row>
    <row r="14" spans="1:11" x14ac:dyDescent="0.25">
      <c r="A14" s="4" t="s">
        <v>74</v>
      </c>
      <c r="C14" s="9">
        <v>1.022</v>
      </c>
      <c r="D14" s="9">
        <v>1.022</v>
      </c>
      <c r="E14" s="9">
        <v>1.022</v>
      </c>
      <c r="F14" s="9">
        <v>1.022</v>
      </c>
      <c r="G14" s="9">
        <v>1.022</v>
      </c>
      <c r="H14" s="9"/>
      <c r="I14" s="9"/>
      <c r="J14" s="9"/>
    </row>
    <row r="15" spans="1:11" x14ac:dyDescent="0.25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7.9493262825082317E-2</v>
      </c>
      <c r="D16" s="11">
        <f>MAX((MAX(Inputs!B18+((1-0.33)*D14*(1+(1-Inputs!B22)*Inputs!B21)+0.33)*Inputs!B19+IF(ISBLANK(D17),Inputs!B24,D17)+Inputs!B25+Inputs!B39,MIN(Inputs!B27,0.08)+0.025))*Inputs!B29+Inputs!B28*Inputs!B30,D15)</f>
        <v>7.9493262825082317E-2</v>
      </c>
      <c r="E16" s="11">
        <f>MAX((MAX(Inputs!B18+((1-0.33)*E14*(1+(1-Inputs!B22)*Inputs!B21)+0.33)*Inputs!B19+IF(ISBLANK(E17),Inputs!B24,E17)+Inputs!B25+Inputs!B39,MIN(Inputs!B27,0.08)+0.025))*Inputs!B29+Inputs!B28*Inputs!B30,E15)</f>
        <v>7.9493262825082317E-2</v>
      </c>
      <c r="F16" s="11">
        <f>MAX((MAX(Inputs!B18+((1-0.33)*F14*(1+(1-Inputs!B22)*Inputs!B21)+0.33)*Inputs!B19+IF(ISBLANK(F17),Inputs!B24,F17)+Inputs!B25+Inputs!B39,MIN(Inputs!B27,0.08)+0.025))*Inputs!B29+Inputs!B28*Inputs!B30,F15)</f>
        <v>7.9493262825082317E-2</v>
      </c>
      <c r="G16" s="11">
        <f>MAX((MAX(Inputs!B18+((1-0.33)*G14*(1+(1-Inputs!B22)*Inputs!B21)+0.33)*Inputs!B19+IF(ISBLANK(G17),Inputs!B24,G17)+Inputs!B25+Inputs!B39,MIN(Inputs!B27,0.08)+0.025))*Inputs!B29+Inputs!B28*Inputs!B30,G15)</f>
        <v>7.9493262825082317E-2</v>
      </c>
      <c r="H16" s="11">
        <f>MAX((MAX(Inputs!B18+((1-0.33)*H14*(1+(1-Inputs!B22)*Inputs!B21)+0.33)*Inputs!B19+IF(ISBLANK(H17),Inputs!B24,H17)+Inputs!B25+Inputs!B39,MIN(Inputs!B27,0.08)+0.025))*Inputs!B29+Inputs!B28*Inputs!B30,H15)</f>
        <v>5.5469629629629633E-2</v>
      </c>
      <c r="I16" s="11">
        <f>MAX((MAX(Inputs!B18+((1-0.33)*I14*(1+(1-Inputs!B22)*Inputs!B21)+0.33)*Inputs!B19+IF(ISBLANK(I17),Inputs!B24,I17)+Inputs!B25+Inputs!B39,MIN(Inputs!B27,0.08)+0.025))*Inputs!B29+Inputs!B28*Inputs!B30,I15)</f>
        <v>5.5469629629629633E-2</v>
      </c>
      <c r="J16" s="11">
        <f>MAX((MAX(Inputs!B18+((1-0.33)*J14*(1+(1-Inputs!B22)*Inputs!B21)+0.33)*Inputs!B19+IF(ISBLANK(J17),Inputs!B24,J17)+Inputs!B25+Inputs!B39,MIN(Inputs!B27,0.08)+0.025))*Inputs!B29+Inputs!B28*Inputs!B30,J15)</f>
        <v>5.5469629629629633E-2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/>
      <c r="I18" s="18"/>
      <c r="J18" s="18"/>
    </row>
    <row r="19" spans="1:10" ht="39.950000000000003" customHeight="1" x14ac:dyDescent="0.25">
      <c r="A19" s="17" t="s">
        <v>84</v>
      </c>
      <c r="C19" s="18" t="s">
        <v>85</v>
      </c>
      <c r="D19" s="18" t="s">
        <v>86</v>
      </c>
      <c r="E19" s="18" t="s">
        <v>87</v>
      </c>
      <c r="F19" s="18" t="s">
        <v>88</v>
      </c>
      <c r="G19" s="18" t="s">
        <v>89</v>
      </c>
      <c r="H19" s="18"/>
      <c r="I19" s="18"/>
      <c r="J19" s="18"/>
    </row>
    <row r="20" spans="1:10" ht="27.95" customHeight="1" x14ac:dyDescent="0.25">
      <c r="A20" s="17" t="s">
        <v>90</v>
      </c>
      <c r="C20" s="18" t="s">
        <v>91</v>
      </c>
      <c r="D20" s="18" t="s">
        <v>92</v>
      </c>
      <c r="E20" s="18" t="s">
        <v>93</v>
      </c>
      <c r="F20" s="18" t="s">
        <v>94</v>
      </c>
      <c r="G20" s="18" t="s">
        <v>95</v>
      </c>
      <c r="H20" s="18"/>
      <c r="I20" s="18"/>
      <c r="J20" s="18"/>
    </row>
    <row r="21" spans="1:10" x14ac:dyDescent="0.25">
      <c r="A21" s="4" t="s">
        <v>96</v>
      </c>
      <c r="C21" s="6">
        <f t="shared" ref="C21:J21" si="0">C5*(1+C6)^1</f>
        <v>25895.800000000003</v>
      </c>
      <c r="D21" s="6">
        <f t="shared" si="0"/>
        <v>19406.329224091329</v>
      </c>
      <c r="E21" s="6">
        <f t="shared" si="0"/>
        <v>18844.68</v>
      </c>
      <c r="F21" s="6">
        <f t="shared" si="0"/>
        <v>7303.5422742393775</v>
      </c>
      <c r="G21" s="6">
        <f t="shared" si="0"/>
        <v>18427.102866030596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97</v>
      </c>
      <c r="C22" s="6">
        <f t="shared" ref="C22:J22" si="1">C5*(1+C6)^2</f>
        <v>27449.548000000003</v>
      </c>
      <c r="D22" s="6">
        <f t="shared" si="1"/>
        <v>20200.912618882219</v>
      </c>
      <c r="E22" s="6">
        <f t="shared" si="1"/>
        <v>19975.360800000002</v>
      </c>
      <c r="F22" s="6">
        <f t="shared" si="1"/>
        <v>7748.6533631030934</v>
      </c>
      <c r="G22" s="6">
        <f t="shared" si="1"/>
        <v>18997.321250714616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98</v>
      </c>
      <c r="C23" s="6">
        <f t="shared" ref="C23:J23" si="2">C5*(1+C6)^3</f>
        <v>29096.520880000007</v>
      </c>
      <c r="D23" s="6">
        <f t="shared" si="2"/>
        <v>21028.029872291445</v>
      </c>
      <c r="E23" s="6">
        <f t="shared" si="2"/>
        <v>21173.882448000004</v>
      </c>
      <c r="F23" s="6">
        <f t="shared" si="2"/>
        <v>8220.8915464628953</v>
      </c>
      <c r="G23" s="6">
        <f t="shared" si="2"/>
        <v>19585.184786055012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99</v>
      </c>
      <c r="C24" s="6">
        <f t="shared" ref="C24:J24" si="3">C5*(1+C6)^4</f>
        <v>30842.312132800009</v>
      </c>
      <c r="D24" s="6">
        <f t="shared" si="3"/>
        <v>21889.013068482265</v>
      </c>
      <c r="E24" s="6">
        <f t="shared" si="3"/>
        <v>22444.315394880006</v>
      </c>
      <c r="F24" s="6">
        <f t="shared" si="3"/>
        <v>8721.9100728542835</v>
      </c>
      <c r="G24" s="6">
        <f t="shared" si="3"/>
        <v>20191.239493278121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100</v>
      </c>
      <c r="C25" s="6">
        <f t="shared" ref="C25:J25" si="4">C5*(1+C6)^5</f>
        <v>32692.850860768012</v>
      </c>
      <c r="D25" s="6">
        <f t="shared" si="4"/>
        <v>22785.248833203048</v>
      </c>
      <c r="E25" s="6">
        <f t="shared" si="4"/>
        <v>23790.974318572808</v>
      </c>
      <c r="F25" s="6">
        <f t="shared" si="4"/>
        <v>9253.4629472988818</v>
      </c>
      <c r="G25" s="6">
        <f t="shared" si="4"/>
        <v>20816.048289990791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101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102</v>
      </c>
      <c r="C27" s="11">
        <f t="shared" ref="C27:J27" si="5">IF(ISBLANK(C9),C7,C7+(C9-C7)*(0)/4)</f>
        <v>0.15188909768721021</v>
      </c>
      <c r="D27" s="11">
        <f t="shared" si="5"/>
        <v>6.7889097687210215E-2</v>
      </c>
      <c r="E27" s="11">
        <f t="shared" si="5"/>
        <v>8.3889097687210215E-2</v>
      </c>
      <c r="F27" s="11">
        <f t="shared" si="5"/>
        <v>5.7889097687210213E-2</v>
      </c>
      <c r="G27" s="11">
        <f t="shared" si="5"/>
        <v>7.2889097687210219E-2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103</v>
      </c>
      <c r="C28" s="11">
        <f t="shared" ref="C28:J28" si="6">IF(ISBLANK(C9),C7,C7+(C9-C7)*(1)/4)</f>
        <v>0.15141682326540765</v>
      </c>
      <c r="D28" s="11">
        <f t="shared" si="6"/>
        <v>7.2166823265407659E-2</v>
      </c>
      <c r="E28" s="11">
        <f t="shared" si="6"/>
        <v>8.5889097687210217E-2</v>
      </c>
      <c r="F28" s="11">
        <f t="shared" si="6"/>
        <v>6.263909768721021E-2</v>
      </c>
      <c r="G28" s="11">
        <f t="shared" si="6"/>
        <v>7.388909768721022E-2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104</v>
      </c>
      <c r="C29" s="11">
        <f t="shared" ref="C29:J29" si="7">IF(ISBLANK(C9),C7,C7+(C9-C7)*(2)/4)</f>
        <v>0.15094454884360509</v>
      </c>
      <c r="D29" s="11">
        <f t="shared" si="7"/>
        <v>7.6444548843605103E-2</v>
      </c>
      <c r="E29" s="11">
        <f t="shared" si="7"/>
        <v>8.7889097687210219E-2</v>
      </c>
      <c r="F29" s="11">
        <f t="shared" si="7"/>
        <v>6.7389097687210214E-2</v>
      </c>
      <c r="G29" s="11">
        <f t="shared" si="7"/>
        <v>7.4889097687210221E-2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105</v>
      </c>
      <c r="C30" s="11">
        <f t="shared" ref="C30:J30" si="8">IF(ISBLANK(C9),C7,C7+(C9-C7)*(3)/4)</f>
        <v>0.15047227442180255</v>
      </c>
      <c r="D30" s="11">
        <f t="shared" si="8"/>
        <v>8.0722274421802562E-2</v>
      </c>
      <c r="E30" s="11">
        <f t="shared" si="8"/>
        <v>8.988909768721022E-2</v>
      </c>
      <c r="F30" s="11">
        <f t="shared" si="8"/>
        <v>7.2139097687210219E-2</v>
      </c>
      <c r="G30" s="11">
        <f t="shared" si="8"/>
        <v>7.5889097687210222E-2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106</v>
      </c>
      <c r="C31" s="11">
        <f t="shared" ref="C31:J31" si="9">IF(ISBLANK(C9),C7,C7+(C9-C7)*(4)/4)</f>
        <v>0.15</v>
      </c>
      <c r="D31" s="11">
        <f t="shared" si="9"/>
        <v>8.5000000000000006E-2</v>
      </c>
      <c r="E31" s="11">
        <f t="shared" si="9"/>
        <v>9.1889097687210222E-2</v>
      </c>
      <c r="F31" s="11">
        <f t="shared" si="9"/>
        <v>7.6889097687210223E-2</v>
      </c>
      <c r="G31" s="11">
        <f t="shared" si="9"/>
        <v>7.6889097687210223E-2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107</v>
      </c>
      <c r="C33" s="6">
        <f t="shared" ref="C33:J37" si="10">C21*C27</f>
        <v>3933.2896958884585</v>
      </c>
      <c r="D33" s="6">
        <f t="shared" si="10"/>
        <v>1317.4781804444985</v>
      </c>
      <c r="E33" s="6">
        <f t="shared" si="10"/>
        <v>1580.8632014042166</v>
      </c>
      <c r="F33" s="6">
        <f t="shared" si="10"/>
        <v>422.79547217611275</v>
      </c>
      <c r="G33" s="6">
        <f t="shared" si="10"/>
        <v>1343.1349008943755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108</v>
      </c>
      <c r="C34" s="6">
        <f t="shared" si="10"/>
        <v>4156.3233582313242</v>
      </c>
      <c r="D34" s="6">
        <f t="shared" si="10"/>
        <v>1457.8356907668165</v>
      </c>
      <c r="E34" s="6">
        <f t="shared" si="10"/>
        <v>1715.6657150884698</v>
      </c>
      <c r="F34" s="6">
        <f t="shared" si="10"/>
        <v>485.3686549557446</v>
      </c>
      <c r="G34" s="6">
        <f t="shared" si="10"/>
        <v>1403.694925689367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109</v>
      </c>
      <c r="C35" s="6">
        <f t="shared" si="10"/>
        <v>4391.9612171501367</v>
      </c>
      <c r="D35" s="6">
        <f t="shared" si="10"/>
        <v>1607.4782566571705</v>
      </c>
      <c r="E35" s="6">
        <f t="shared" si="10"/>
        <v>1860.9534228897783</v>
      </c>
      <c r="F35" s="6">
        <f t="shared" si="10"/>
        <v>553.99846350054872</v>
      </c>
      <c r="G35" s="6">
        <f t="shared" si="10"/>
        <v>1466.7168166649371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110</v>
      </c>
      <c r="C36" s="6">
        <f t="shared" si="10"/>
        <v>4640.9128550495734</v>
      </c>
      <c r="D36" s="6">
        <f t="shared" si="10"/>
        <v>1766.930919736448</v>
      </c>
      <c r="E36" s="6">
        <f t="shared" si="10"/>
        <v>2017.499259052925</v>
      </c>
      <c r="F36" s="6">
        <f t="shared" si="10"/>
        <v>629.19072276469797</v>
      </c>
      <c r="G36" s="6">
        <f t="shared" si="10"/>
        <v>1532.2949463312402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111</v>
      </c>
      <c r="C37" s="6">
        <f t="shared" si="10"/>
        <v>4903.9276291152019</v>
      </c>
      <c r="D37" s="6">
        <f t="shared" si="10"/>
        <v>1936.7461508222593</v>
      </c>
      <c r="E37" s="6">
        <f t="shared" si="10"/>
        <v>2186.1311632332463</v>
      </c>
      <c r="F37" s="6">
        <f t="shared" si="10"/>
        <v>711.49041649984395</v>
      </c>
      <c r="G37" s="6">
        <f t="shared" si="10"/>
        <v>1600.5271704307872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112</v>
      </c>
      <c r="C39" s="6">
        <f>C33*(1-Inputs!B22)</f>
        <v>2776.9025252972515</v>
      </c>
      <c r="D39" s="6">
        <f>D33*(1-Inputs!B22)</f>
        <v>930.13959539381597</v>
      </c>
      <c r="E39" s="6">
        <f>E33*(1-Inputs!B22)</f>
        <v>1116.0894201913768</v>
      </c>
      <c r="F39" s="6">
        <f>F33*(1-Inputs!B22)</f>
        <v>298.4936033563356</v>
      </c>
      <c r="G39" s="6">
        <f>G33*(1-Inputs!B22)</f>
        <v>948.25324003142907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113</v>
      </c>
      <c r="C40" s="6">
        <f>C34*(1-Inputs!B22)</f>
        <v>2934.3642909113146</v>
      </c>
      <c r="D40" s="6">
        <f>D34*(1-Inputs!B22)</f>
        <v>1029.2319976813724</v>
      </c>
      <c r="E40" s="6">
        <f>E34*(1-Inputs!B22)</f>
        <v>1211.2599948524596</v>
      </c>
      <c r="F40" s="6">
        <f>F34*(1-Inputs!B22)</f>
        <v>342.67027039875569</v>
      </c>
      <c r="G40" s="6">
        <f>G34*(1-Inputs!B22)</f>
        <v>991.00861753669301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114</v>
      </c>
      <c r="C41" s="6">
        <f>C35*(1-Inputs!B22)</f>
        <v>3100.7246193079964</v>
      </c>
      <c r="D41" s="6">
        <f>D35*(1-Inputs!B22)</f>
        <v>1134.8796491999624</v>
      </c>
      <c r="E41" s="6">
        <f>E35*(1-Inputs!B22)</f>
        <v>1313.8331165601833</v>
      </c>
      <c r="F41" s="6">
        <f>F35*(1-Inputs!B22)</f>
        <v>391.12291523138737</v>
      </c>
      <c r="G41" s="6">
        <f>G35*(1-Inputs!B22)</f>
        <v>1035.5020725654456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115</v>
      </c>
      <c r="C42" s="6">
        <f>C36*(1-Inputs!B22)</f>
        <v>3276.4844756649986</v>
      </c>
      <c r="D42" s="6">
        <f>D36*(1-Inputs!B22)</f>
        <v>1247.4532293339323</v>
      </c>
      <c r="E42" s="6">
        <f>E36*(1-Inputs!B22)</f>
        <v>1424.354476891365</v>
      </c>
      <c r="F42" s="6">
        <f>F36*(1-Inputs!B22)</f>
        <v>444.20865027187676</v>
      </c>
      <c r="G42" s="6">
        <f>G36*(1-Inputs!B22)</f>
        <v>1081.8002321098556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116</v>
      </c>
      <c r="C43" s="6">
        <f>C37*(1-Inputs!B22)</f>
        <v>3462.1729061553324</v>
      </c>
      <c r="D43" s="6">
        <f>D37*(1-Inputs!B22)</f>
        <v>1367.3427824805151</v>
      </c>
      <c r="E43" s="6">
        <f>E37*(1-Inputs!B22)</f>
        <v>1543.4086012426717</v>
      </c>
      <c r="F43" s="6">
        <f>F37*(1-Inputs!B22)</f>
        <v>502.31223404888982</v>
      </c>
      <c r="G43" s="6">
        <f>G37*(1-Inputs!B22)</f>
        <v>1129.9721823241357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117</v>
      </c>
      <c r="C45" s="6">
        <f t="shared" ref="C45:J45" si="11">C21*IF(ISBLANK(C26),C12,C12+(C26-C12)*(0)/4)</f>
        <v>673.29079999999999</v>
      </c>
      <c r="D45" s="6">
        <f t="shared" si="11"/>
        <v>97.031646120456642</v>
      </c>
      <c r="E45" s="6">
        <f t="shared" si="11"/>
        <v>433.42764</v>
      </c>
      <c r="F45" s="6">
        <f t="shared" si="11"/>
        <v>109.55313411359066</v>
      </c>
      <c r="G45" s="6">
        <f t="shared" si="11"/>
        <v>515.95888024885676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118</v>
      </c>
      <c r="C46" s="6">
        <f t="shared" ref="C46:J46" si="12">C22*IF(ISBLANK(C26),C12,C12+(C26-C12)*(1)/4)</f>
        <v>713.68824800000004</v>
      </c>
      <c r="D46" s="6">
        <f t="shared" si="12"/>
        <v>101.0045630944111</v>
      </c>
      <c r="E46" s="6">
        <f t="shared" si="12"/>
        <v>459.43329840000007</v>
      </c>
      <c r="F46" s="6">
        <f t="shared" si="12"/>
        <v>116.22980044654639</v>
      </c>
      <c r="G46" s="6">
        <f t="shared" si="12"/>
        <v>531.92499502000931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119</v>
      </c>
      <c r="C47" s="6">
        <f t="shared" ref="C47:J47" si="13">C23*IF(ISBLANK(C26),C12,C12+(C26-C12)*(2)/4)</f>
        <v>756.50954288000014</v>
      </c>
      <c r="D47" s="6">
        <f t="shared" si="13"/>
        <v>105.14014936145723</v>
      </c>
      <c r="E47" s="6">
        <f t="shared" si="13"/>
        <v>486.9992963040001</v>
      </c>
      <c r="F47" s="6">
        <f t="shared" si="13"/>
        <v>123.31337319694343</v>
      </c>
      <c r="G47" s="6">
        <f t="shared" si="13"/>
        <v>548.38517400954038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120</v>
      </c>
      <c r="C48" s="6">
        <f t="shared" ref="C48:J48" si="14">C24*IF(ISBLANK(C26),C12,C12+(C26-C12)*(3)/4)</f>
        <v>801.90011545280015</v>
      </c>
      <c r="D48" s="6">
        <f t="shared" si="14"/>
        <v>109.44506534241133</v>
      </c>
      <c r="E48" s="6">
        <f t="shared" si="14"/>
        <v>516.21925408224013</v>
      </c>
      <c r="F48" s="6">
        <f t="shared" si="14"/>
        <v>130.82865109281425</v>
      </c>
      <c r="G48" s="6">
        <f t="shared" si="14"/>
        <v>565.35470581178743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121</v>
      </c>
      <c r="C49" s="6">
        <f t="shared" ref="C49:J49" si="15">C25*IF(ISBLANK(C26),C12,C12+(C26-C12)*(4)/4)</f>
        <v>850.01412237996828</v>
      </c>
      <c r="D49" s="6">
        <f t="shared" si="15"/>
        <v>113.92624416601524</v>
      </c>
      <c r="E49" s="6">
        <f t="shared" si="15"/>
        <v>547.19240932717457</v>
      </c>
      <c r="F49" s="6">
        <f t="shared" si="15"/>
        <v>138.80194420948322</v>
      </c>
      <c r="G49" s="6">
        <f t="shared" si="15"/>
        <v>582.84935211974221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122</v>
      </c>
      <c r="C51" s="6">
        <f t="shared" ref="C51:J55" si="16">C39-C45</f>
        <v>2103.6117252972517</v>
      </c>
      <c r="D51" s="6">
        <f t="shared" si="16"/>
        <v>833.10794927335928</v>
      </c>
      <c r="E51" s="6">
        <f t="shared" si="16"/>
        <v>682.66178019137681</v>
      </c>
      <c r="F51" s="6">
        <f t="shared" si="16"/>
        <v>188.94046924274494</v>
      </c>
      <c r="G51" s="6">
        <f t="shared" si="16"/>
        <v>432.29435978257231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123</v>
      </c>
      <c r="C52" s="6">
        <f t="shared" si="16"/>
        <v>2220.6760429113147</v>
      </c>
      <c r="D52" s="6">
        <f t="shared" si="16"/>
        <v>928.22743458696129</v>
      </c>
      <c r="E52" s="6">
        <f t="shared" si="16"/>
        <v>751.8266964524596</v>
      </c>
      <c r="F52" s="6">
        <f t="shared" si="16"/>
        <v>226.4404699522093</v>
      </c>
      <c r="G52" s="6">
        <f t="shared" si="16"/>
        <v>459.0836225166837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124</v>
      </c>
      <c r="C53" s="6">
        <f t="shared" si="16"/>
        <v>2344.2150764279963</v>
      </c>
      <c r="D53" s="6">
        <f t="shared" si="16"/>
        <v>1029.7394998385053</v>
      </c>
      <c r="E53" s="6">
        <f t="shared" si="16"/>
        <v>826.83382025618312</v>
      </c>
      <c r="F53" s="6">
        <f t="shared" si="16"/>
        <v>267.80954203444395</v>
      </c>
      <c r="G53" s="6">
        <f t="shared" si="16"/>
        <v>487.11689855590521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125</v>
      </c>
      <c r="C54" s="6">
        <f t="shared" si="16"/>
        <v>2474.5843602121986</v>
      </c>
      <c r="D54" s="6">
        <f t="shared" si="16"/>
        <v>1138.0081639915211</v>
      </c>
      <c r="E54" s="6">
        <f t="shared" si="16"/>
        <v>908.13522280912491</v>
      </c>
      <c r="F54" s="6">
        <f t="shared" si="16"/>
        <v>313.37999917906251</v>
      </c>
      <c r="G54" s="6">
        <f t="shared" si="16"/>
        <v>516.44552629806822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126</v>
      </c>
      <c r="C55" s="6">
        <f t="shared" si="16"/>
        <v>2612.1587837753641</v>
      </c>
      <c r="D55" s="6">
        <f t="shared" si="16"/>
        <v>1253.4165383144998</v>
      </c>
      <c r="E55" s="6">
        <f t="shared" si="16"/>
        <v>996.21619191549712</v>
      </c>
      <c r="F55" s="6">
        <f t="shared" si="16"/>
        <v>363.5102898394066</v>
      </c>
      <c r="G55" s="6">
        <f t="shared" si="16"/>
        <v>547.12283020439349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127</v>
      </c>
      <c r="C57" s="6">
        <f t="shared" ref="C57:J57" si="17">C51/((1+C16))</f>
        <v>1948.7029680870867</v>
      </c>
      <c r="D57" s="6">
        <f t="shared" si="17"/>
        <v>771.75835918890164</v>
      </c>
      <c r="E57" s="6">
        <f t="shared" si="17"/>
        <v>632.39095944408234</v>
      </c>
      <c r="F57" s="6">
        <f t="shared" si="17"/>
        <v>175.02700178811605</v>
      </c>
      <c r="G57" s="6">
        <f t="shared" si="17"/>
        <v>400.46045183388969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128</v>
      </c>
      <c r="C58" s="6">
        <f t="shared" ref="C58:J58" si="18">C52/((1+C16)*(1+C16+(C104-C16)*1/5))</f>
        <v>1907.611149545339</v>
      </c>
      <c r="D58" s="6">
        <f t="shared" si="18"/>
        <v>797.36844515626137</v>
      </c>
      <c r="E58" s="6">
        <f t="shared" si="18"/>
        <v>645.83620526581569</v>
      </c>
      <c r="F58" s="6">
        <f t="shared" si="18"/>
        <v>194.51750585953056</v>
      </c>
      <c r="G58" s="6">
        <f t="shared" si="18"/>
        <v>394.36325693790707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129</v>
      </c>
      <c r="C59" s="6">
        <f t="shared" ref="C59:J59" si="19">C53/((1+C16)*(1+C16+(C104-C16)*1/5)*(1+C16+(C104-C16)*2/5))</f>
        <v>1869.268352174515</v>
      </c>
      <c r="D59" s="6">
        <f t="shared" si="19"/>
        <v>821.11043367451657</v>
      </c>
      <c r="E59" s="6">
        <f t="shared" si="19"/>
        <v>659.31420211984448</v>
      </c>
      <c r="F59" s="6">
        <f t="shared" si="19"/>
        <v>213.55032922070407</v>
      </c>
      <c r="G59" s="6">
        <f t="shared" si="19"/>
        <v>388.42519674748172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130</v>
      </c>
      <c r="C60" s="6">
        <f t="shared" ref="C60:J60" si="20">C54/((1+C16)*(1+C16+(C104-C16)*1/5)*(1+C16+(C104-C16)*2/5)*(1+C16+(C104-C16)*3/5))</f>
        <v>1833.5444588941546</v>
      </c>
      <c r="D60" s="6">
        <f t="shared" si="20"/>
        <v>843.20769047616398</v>
      </c>
      <c r="E60" s="6">
        <f t="shared" si="20"/>
        <v>672.8832253532446</v>
      </c>
      <c r="F60" s="6">
        <f t="shared" si="20"/>
        <v>232.19905947104283</v>
      </c>
      <c r="G60" s="6">
        <f t="shared" si="20"/>
        <v>382.66055839102546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131</v>
      </c>
      <c r="C61" s="6">
        <f t="shared" ref="C61:J61" si="21">C55/((1+C16)*(1+C16+(C104-C16)*1/5)*(1+C16+(C104-C16)*2/5)*(1+C16+(C104-C16)*3/5)*(1+C16+(C104-C16)*4/5))</f>
        <v>1800.3196550054236</v>
      </c>
      <c r="D61" s="6">
        <f t="shared" si="21"/>
        <v>863.86418921098311</v>
      </c>
      <c r="E61" s="6">
        <f t="shared" si="21"/>
        <v>686.59975882015897</v>
      </c>
      <c r="F61" s="6">
        <f t="shared" si="21"/>
        <v>250.53405009658132</v>
      </c>
      <c r="G61" s="6">
        <f t="shared" si="21"/>
        <v>377.08120617979654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132</v>
      </c>
    </row>
    <row r="63" spans="1:10" x14ac:dyDescent="0.25">
      <c r="A63" s="4" t="s">
        <v>133</v>
      </c>
      <c r="C63" s="6">
        <f t="shared" ref="C63:J63" si="22">C25*(1+(C6+(C13-C6)*1/5))</f>
        <v>34454.196636635308</v>
      </c>
      <c r="D63" s="6">
        <f t="shared" si="22"/>
        <v>23651.799256582457</v>
      </c>
      <c r="E63" s="6">
        <f t="shared" si="22"/>
        <v>25072.726475894491</v>
      </c>
      <c r="F63" s="6">
        <f t="shared" si="22"/>
        <v>9768.244222809928</v>
      </c>
      <c r="G63" s="6">
        <f t="shared" si="22"/>
        <v>21412.036793872387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134</v>
      </c>
      <c r="C64" s="6">
        <f t="shared" ref="C64:J64" si="23">C63*(1+(C6+(C13-C6)*2/5))</f>
        <v>36099.423383993628</v>
      </c>
      <c r="D64" s="6">
        <f t="shared" si="23"/>
        <v>24482.399763533002</v>
      </c>
      <c r="E64" s="6">
        <f t="shared" si="23"/>
        <v>26269.977442514886</v>
      </c>
      <c r="F64" s="6">
        <f t="shared" si="23"/>
        <v>10259.761339937677</v>
      </c>
      <c r="G64" s="6">
        <f t="shared" si="23"/>
        <v>21975.555718886113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135</v>
      </c>
      <c r="C65" s="6">
        <f t="shared" ref="C65:J65" si="24">C64*(1+(C6+(C13-C6)*3/5))</f>
        <v>37602.122952557882</v>
      </c>
      <c r="D65" s="6">
        <f t="shared" si="24"/>
        <v>25270.843482387249</v>
      </c>
      <c r="E65" s="6">
        <f t="shared" si="24"/>
        <v>27363.50969507057</v>
      </c>
      <c r="F65" s="6">
        <f t="shared" si="24"/>
        <v>10721.496884684864</v>
      </c>
      <c r="G65" s="6">
        <f t="shared" si="24"/>
        <v>22503.068193582832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136</v>
      </c>
      <c r="C66" s="6">
        <f t="shared" ref="C66:J66" si="25">C65*(1+(C6+(C13-C6)*4/5))</f>
        <v>38937.083133848537</v>
      </c>
      <c r="D66" s="6">
        <f t="shared" si="25"/>
        <v>26011.055938593876</v>
      </c>
      <c r="E66" s="6">
        <f t="shared" si="25"/>
        <v>28334.976011197679</v>
      </c>
      <c r="F66" s="6">
        <f t="shared" si="25"/>
        <v>11147.045590856267</v>
      </c>
      <c r="G66" s="6">
        <f t="shared" si="25"/>
        <v>22991.185967747493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137</v>
      </c>
      <c r="C67" s="6">
        <f t="shared" ref="C67:J67" si="26">C66*(1+(C6+(C13-C6)*5/5))</f>
        <v>40080.969735469123</v>
      </c>
      <c r="D67" s="6">
        <f t="shared" si="26"/>
        <v>26697.170878120414</v>
      </c>
      <c r="E67" s="6">
        <f t="shared" si="26"/>
        <v>29167.395823052397</v>
      </c>
      <c r="F67" s="6">
        <f t="shared" si="26"/>
        <v>11530.256712554363</v>
      </c>
      <c r="G67" s="6">
        <f t="shared" si="26"/>
        <v>23436.705020382276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138</v>
      </c>
      <c r="C69" s="11">
        <f t="shared" ref="C69:J69" si="27">IF(ISBLANK(C9),C7,C9)</f>
        <v>0.15</v>
      </c>
      <c r="D69" s="11">
        <f t="shared" si="27"/>
        <v>8.5000000000000006E-2</v>
      </c>
      <c r="E69" s="11">
        <f t="shared" si="27"/>
        <v>9.1889097687210222E-2</v>
      </c>
      <c r="F69" s="11">
        <f t="shared" si="27"/>
        <v>7.6889097687210223E-2</v>
      </c>
      <c r="G69" s="11">
        <f t="shared" si="27"/>
        <v>7.6889097687210223E-2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139</v>
      </c>
      <c r="C70" s="11">
        <f t="shared" ref="C70:J70" si="28">IF(ISBLANK(C9),C7,C9)</f>
        <v>0.15</v>
      </c>
      <c r="D70" s="11">
        <f t="shared" si="28"/>
        <v>8.5000000000000006E-2</v>
      </c>
      <c r="E70" s="11">
        <f t="shared" si="28"/>
        <v>9.1889097687210222E-2</v>
      </c>
      <c r="F70" s="11">
        <f t="shared" si="28"/>
        <v>7.6889097687210223E-2</v>
      </c>
      <c r="G70" s="11">
        <f t="shared" si="28"/>
        <v>7.6889097687210223E-2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140</v>
      </c>
      <c r="C71" s="11">
        <f t="shared" ref="C71:J71" si="29">IF(ISBLANK(C9),C7,C9)</f>
        <v>0.15</v>
      </c>
      <c r="D71" s="11">
        <f t="shared" si="29"/>
        <v>8.5000000000000006E-2</v>
      </c>
      <c r="E71" s="11">
        <f t="shared" si="29"/>
        <v>9.1889097687210222E-2</v>
      </c>
      <c r="F71" s="11">
        <f t="shared" si="29"/>
        <v>7.6889097687210223E-2</v>
      </c>
      <c r="G71" s="11">
        <f t="shared" si="29"/>
        <v>7.6889097687210223E-2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141</v>
      </c>
      <c r="C72" s="11">
        <f t="shared" ref="C72:J72" si="30">IF(ISBLANK(C9),C7,C9)</f>
        <v>0.15</v>
      </c>
      <c r="D72" s="11">
        <f t="shared" si="30"/>
        <v>8.5000000000000006E-2</v>
      </c>
      <c r="E72" s="11">
        <f t="shared" si="30"/>
        <v>9.1889097687210222E-2</v>
      </c>
      <c r="F72" s="11">
        <f t="shared" si="30"/>
        <v>7.6889097687210223E-2</v>
      </c>
      <c r="G72" s="11">
        <f t="shared" si="30"/>
        <v>7.6889097687210223E-2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142</v>
      </c>
      <c r="C73" s="11">
        <f t="shared" ref="C73:J73" si="31">IF(ISBLANK(C9),C7,C9)</f>
        <v>0.15</v>
      </c>
      <c r="D73" s="11">
        <f t="shared" si="31"/>
        <v>8.5000000000000006E-2</v>
      </c>
      <c r="E73" s="11">
        <f t="shared" si="31"/>
        <v>9.1889097687210222E-2</v>
      </c>
      <c r="F73" s="11">
        <f t="shared" si="31"/>
        <v>7.6889097687210223E-2</v>
      </c>
      <c r="G73" s="11">
        <f t="shared" si="31"/>
        <v>7.6889097687210223E-2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143</v>
      </c>
      <c r="C75" s="6">
        <f t="shared" ref="C75:J79" si="32">C63*C69</f>
        <v>5168.1294954952964</v>
      </c>
      <c r="D75" s="6">
        <f t="shared" si="32"/>
        <v>2010.4029368095089</v>
      </c>
      <c r="E75" s="6">
        <f t="shared" si="32"/>
        <v>2303.9102124281708</v>
      </c>
      <c r="F75" s="6">
        <f t="shared" si="32"/>
        <v>751.07148428015944</v>
      </c>
      <c r="G75" s="6">
        <f t="shared" si="32"/>
        <v>1646.3521887261936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144</v>
      </c>
      <c r="C76" s="6">
        <f t="shared" si="32"/>
        <v>5414.9135075990444</v>
      </c>
      <c r="D76" s="6">
        <f t="shared" si="32"/>
        <v>2081.0039799003052</v>
      </c>
      <c r="E76" s="6">
        <f t="shared" si="32"/>
        <v>2413.9245234560594</v>
      </c>
      <c r="F76" s="6">
        <f t="shared" si="32"/>
        <v>788.86379191393087</v>
      </c>
      <c r="G76" s="6">
        <f t="shared" si="32"/>
        <v>1689.6806504001656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145</v>
      </c>
      <c r="C77" s="6">
        <f t="shared" si="32"/>
        <v>5640.3184428836821</v>
      </c>
      <c r="D77" s="6">
        <f t="shared" si="32"/>
        <v>2148.0216960029161</v>
      </c>
      <c r="E77" s="6">
        <f t="shared" si="32"/>
        <v>2514.4082154352636</v>
      </c>
      <c r="F77" s="6">
        <f t="shared" si="32"/>
        <v>824.36622131965464</v>
      </c>
      <c r="G77" s="6">
        <f t="shared" si="32"/>
        <v>1730.2406085983437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146</v>
      </c>
      <c r="C78" s="6">
        <f t="shared" si="32"/>
        <v>5840.5624700772805</v>
      </c>
      <c r="D78" s="6">
        <f t="shared" si="32"/>
        <v>2210.9397547804797</v>
      </c>
      <c r="E78" s="6">
        <f t="shared" si="32"/>
        <v>2603.6753786577019</v>
      </c>
      <c r="F78" s="6">
        <f t="shared" si="32"/>
        <v>857.08627735913353</v>
      </c>
      <c r="G78" s="6">
        <f t="shared" si="32"/>
        <v>1767.7715438189539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147</v>
      </c>
      <c r="C79" s="6">
        <f t="shared" si="32"/>
        <v>6012.1454603203683</v>
      </c>
      <c r="D79" s="6">
        <f t="shared" si="32"/>
        <v>2269.2595246402352</v>
      </c>
      <c r="E79" s="6">
        <f t="shared" si="32"/>
        <v>2680.1656840659889</v>
      </c>
      <c r="F79" s="6">
        <f t="shared" si="32"/>
        <v>886.55103473020381</v>
      </c>
      <c r="G79" s="6">
        <f t="shared" si="32"/>
        <v>1802.027101778503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148</v>
      </c>
      <c r="C81" s="6">
        <f>C75*(1-Inputs!B22)</f>
        <v>3648.6994238196789</v>
      </c>
      <c r="D81" s="6">
        <f>D75*(1-Inputs!B22)</f>
        <v>1419.3444733875133</v>
      </c>
      <c r="E81" s="6">
        <f>E75*(1-Inputs!B22)</f>
        <v>1626.5606099742886</v>
      </c>
      <c r="F81" s="6">
        <f>F75*(1-Inputs!B22)</f>
        <v>530.25646790179258</v>
      </c>
      <c r="G81" s="6">
        <f>G75*(1-Inputs!B22)</f>
        <v>1162.3246452406927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149</v>
      </c>
      <c r="C82" s="6">
        <f>C76*(1-Inputs!B22)</f>
        <v>3822.928936364925</v>
      </c>
      <c r="D82" s="6">
        <f>D76*(1-Inputs!B22)</f>
        <v>1469.1888098096153</v>
      </c>
      <c r="E82" s="6">
        <f>E76*(1-Inputs!B22)</f>
        <v>1704.2307135599779</v>
      </c>
      <c r="F82" s="6">
        <f>F76*(1-Inputs!B22)</f>
        <v>556.93783709123511</v>
      </c>
      <c r="G82" s="6">
        <f>G76*(1-Inputs!B22)</f>
        <v>1192.9145391825168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150</v>
      </c>
      <c r="C83" s="6">
        <f>C77*(1-Inputs!B22)</f>
        <v>3982.0648206758792</v>
      </c>
      <c r="D83" s="6">
        <f>D77*(1-Inputs!B22)</f>
        <v>1516.5033173780587</v>
      </c>
      <c r="E83" s="6">
        <f>E77*(1-Inputs!B22)</f>
        <v>1775.1722000972961</v>
      </c>
      <c r="F83" s="6">
        <f>F77*(1-Inputs!B22)</f>
        <v>582.00255225167609</v>
      </c>
      <c r="G83" s="6">
        <f>G77*(1-Inputs!B22)</f>
        <v>1221.5498696704306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151</v>
      </c>
      <c r="C84" s="6">
        <f>C78*(1-Inputs!B22)</f>
        <v>4123.4371038745594</v>
      </c>
      <c r="D84" s="6">
        <f>D78*(1-Inputs!B22)</f>
        <v>1560.9234668750187</v>
      </c>
      <c r="E84" s="6">
        <f>E78*(1-Inputs!B22)</f>
        <v>1838.1948173323374</v>
      </c>
      <c r="F84" s="6">
        <f>F78*(1-Inputs!B22)</f>
        <v>605.10291181554828</v>
      </c>
      <c r="G84" s="6">
        <f>G78*(1-Inputs!B22)</f>
        <v>1248.0467099361813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152</v>
      </c>
      <c r="C85" s="6">
        <f>C79*(1-Inputs!B22)</f>
        <v>4244.5746949861796</v>
      </c>
      <c r="D85" s="6">
        <f>D79*(1-Inputs!B22)</f>
        <v>1602.0972243960059</v>
      </c>
      <c r="E85" s="6">
        <f>E79*(1-Inputs!B22)</f>
        <v>1892.1969729505881</v>
      </c>
      <c r="F85" s="6">
        <f>F79*(1-Inputs!B22)</f>
        <v>625.90503051952385</v>
      </c>
      <c r="G85" s="6">
        <f>G79*(1-Inputs!B22)</f>
        <v>1272.2311338556231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153</v>
      </c>
      <c r="C87" s="6">
        <f t="shared" ref="C87:J87" si="33">C63*MAX(IF(ISBLANK(C26),C12,C26),0)</f>
        <v>895.80911255251795</v>
      </c>
      <c r="D87" s="6">
        <f t="shared" si="33"/>
        <v>118.25899628291229</v>
      </c>
      <c r="E87" s="6">
        <f t="shared" si="33"/>
        <v>576.67270894557328</v>
      </c>
      <c r="F87" s="6">
        <f t="shared" si="33"/>
        <v>146.52366334214892</v>
      </c>
      <c r="G87" s="6">
        <f t="shared" si="33"/>
        <v>599.53703022842683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154</v>
      </c>
      <c r="C88" s="6">
        <f t="shared" ref="C88:J88" si="34">C64*MAX(IF(ISBLANK(C26),C12,C26),0)</f>
        <v>938.58500798383432</v>
      </c>
      <c r="D88" s="6">
        <f t="shared" si="34"/>
        <v>122.41199881766501</v>
      </c>
      <c r="E88" s="6">
        <f t="shared" si="34"/>
        <v>604.20948117784235</v>
      </c>
      <c r="F88" s="6">
        <f t="shared" si="34"/>
        <v>153.89642009906515</v>
      </c>
      <c r="G88" s="6">
        <f t="shared" si="34"/>
        <v>615.31556012881117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155</v>
      </c>
      <c r="C89" s="6">
        <f t="shared" ref="C89:J89" si="35">C65*MAX(IF(ISBLANK(C26),C12,C26),0)</f>
        <v>977.6551967665049</v>
      </c>
      <c r="D89" s="6">
        <f t="shared" si="35"/>
        <v>126.35421741193625</v>
      </c>
      <c r="E89" s="6">
        <f t="shared" si="35"/>
        <v>629.36072298662316</v>
      </c>
      <c r="F89" s="6">
        <f t="shared" si="35"/>
        <v>160.82245327027294</v>
      </c>
      <c r="G89" s="6">
        <f t="shared" si="35"/>
        <v>630.08590942031935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156</v>
      </c>
      <c r="C90" s="6">
        <f t="shared" ref="C90:J90" si="36">C66*MAX(IF(ISBLANK(C26),C12,C26),0)</f>
        <v>1012.364161480062</v>
      </c>
      <c r="D90" s="6">
        <f t="shared" si="36"/>
        <v>130.05527969296938</v>
      </c>
      <c r="E90" s="6">
        <f t="shared" si="36"/>
        <v>651.70444825754657</v>
      </c>
      <c r="F90" s="6">
        <f t="shared" si="36"/>
        <v>167.20568386284401</v>
      </c>
      <c r="G90" s="6">
        <f t="shared" si="36"/>
        <v>643.75320709692983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157</v>
      </c>
      <c r="C91" s="6">
        <f t="shared" ref="C91:J91" si="37">C67*MAX(IF(ISBLANK(C26),C12,C26),0)</f>
        <v>1042.1052131221973</v>
      </c>
      <c r="D91" s="6">
        <f t="shared" si="37"/>
        <v>133.48585439060207</v>
      </c>
      <c r="E91" s="6">
        <f t="shared" si="37"/>
        <v>670.85010393020514</v>
      </c>
      <c r="F91" s="6">
        <f t="shared" si="37"/>
        <v>172.95385068831544</v>
      </c>
      <c r="G91" s="6">
        <f t="shared" si="37"/>
        <v>656.22774057070376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158</v>
      </c>
      <c r="C93" s="6">
        <f t="shared" ref="C93:J97" si="38">C81-C87</f>
        <v>2752.890311267161</v>
      </c>
      <c r="D93" s="6">
        <f t="shared" si="38"/>
        <v>1301.0854771046011</v>
      </c>
      <c r="E93" s="6">
        <f t="shared" si="38"/>
        <v>1049.8879010287153</v>
      </c>
      <c r="F93" s="6">
        <f t="shared" si="38"/>
        <v>383.73280455964368</v>
      </c>
      <c r="G93" s="6">
        <f t="shared" si="38"/>
        <v>562.78761501226586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159</v>
      </c>
      <c r="C94" s="6">
        <f t="shared" si="38"/>
        <v>2884.3439283810908</v>
      </c>
      <c r="D94" s="6">
        <f t="shared" si="38"/>
        <v>1346.7768109919502</v>
      </c>
      <c r="E94" s="6">
        <f t="shared" si="38"/>
        <v>1100.0212323821356</v>
      </c>
      <c r="F94" s="6">
        <f t="shared" si="38"/>
        <v>403.04141699216996</v>
      </c>
      <c r="G94" s="6">
        <f t="shared" si="38"/>
        <v>577.59897905370565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160</v>
      </c>
      <c r="C95" s="6">
        <f t="shared" si="38"/>
        <v>3004.4096239093742</v>
      </c>
      <c r="D95" s="6">
        <f t="shared" si="38"/>
        <v>1390.1490999661223</v>
      </c>
      <c r="E95" s="6">
        <f t="shared" si="38"/>
        <v>1145.811477110673</v>
      </c>
      <c r="F95" s="6">
        <f t="shared" si="38"/>
        <v>421.18009898140315</v>
      </c>
      <c r="G95" s="6">
        <f t="shared" si="38"/>
        <v>591.4639602501112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161</v>
      </c>
      <c r="C96" s="6">
        <f t="shared" si="38"/>
        <v>3111.0729423944977</v>
      </c>
      <c r="D96" s="6">
        <f t="shared" si="38"/>
        <v>1430.8681871820493</v>
      </c>
      <c r="E96" s="6">
        <f t="shared" si="38"/>
        <v>1186.4903690747908</v>
      </c>
      <c r="F96" s="6">
        <f t="shared" si="38"/>
        <v>437.89722795270427</v>
      </c>
      <c r="G96" s="6">
        <f t="shared" si="38"/>
        <v>604.29350283925146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162</v>
      </c>
      <c r="C97" s="6">
        <f t="shared" si="38"/>
        <v>3202.4694818639823</v>
      </c>
      <c r="D97" s="6">
        <f t="shared" si="38"/>
        <v>1468.6113700054038</v>
      </c>
      <c r="E97" s="6">
        <f t="shared" si="38"/>
        <v>1221.3468690203831</v>
      </c>
      <c r="F97" s="6">
        <f t="shared" si="38"/>
        <v>452.95117983120838</v>
      </c>
      <c r="G97" s="6">
        <f t="shared" si="38"/>
        <v>616.0033932849193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163</v>
      </c>
      <c r="C99" s="6">
        <f t="shared" ref="C99:J99" si="39">C93/(((1+C16)*(1+C16+(C104-C16)*1/5)*(1+C16+(C104-C16)*2/5)*(1+C16+(C104-C16)*3/5)*(1+C16+(C104-C16)*4/5))*(1+C104)^1)</f>
        <v>1766.6323196134658</v>
      </c>
      <c r="D99" s="6">
        <f t="shared" si="39"/>
        <v>834.95504525738681</v>
      </c>
      <c r="E99" s="6">
        <f t="shared" si="39"/>
        <v>673.75219794889665</v>
      </c>
      <c r="F99" s="6">
        <f t="shared" si="39"/>
        <v>246.25564333470973</v>
      </c>
      <c r="G99" s="6">
        <f t="shared" si="39"/>
        <v>361.1617890075683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164</v>
      </c>
      <c r="C100" s="6">
        <f t="shared" ref="C100:J100" si="40">C94/(((1+C16)*(1+C16+(C104-C16)*1/5)*(1+C16+(C104-C16)*2/5)*(1+C16+(C104-C16)*3/5)*(1+C16+(C104-C16)*4/5))*(1+C104)^2)</f>
        <v>1723.5009300335571</v>
      </c>
      <c r="D100" s="6">
        <f t="shared" si="40"/>
        <v>804.74837395520615</v>
      </c>
      <c r="E100" s="6">
        <f t="shared" si="40"/>
        <v>657.30289595921533</v>
      </c>
      <c r="F100" s="6">
        <f t="shared" si="40"/>
        <v>240.8319792216779</v>
      </c>
      <c r="G100" s="6">
        <f t="shared" si="40"/>
        <v>345.13650324087371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165</v>
      </c>
      <c r="C101" s="6">
        <f t="shared" ref="C101:J101" si="41">C95/(((1+C16)*(1+C16+(C104-C16)*1/5)*(1+C16+(C104-C16)*2/5)*(1+C16+(C104-C16)*3/5)*(1+C16+(C104-C16)*4/5))*(1+C104)^3)</f>
        <v>1671.5941247074593</v>
      </c>
      <c r="D101" s="6">
        <f t="shared" si="41"/>
        <v>773.45147927832193</v>
      </c>
      <c r="E101" s="6">
        <f t="shared" si="41"/>
        <v>637.50685589547652</v>
      </c>
      <c r="F101" s="6">
        <f t="shared" si="41"/>
        <v>234.33628134399044</v>
      </c>
      <c r="G101" s="6">
        <f t="shared" si="41"/>
        <v>329.07885564678753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166</v>
      </c>
      <c r="C102" s="6">
        <f t="shared" ref="C102:J102" si="42">C96/(((1+C16)*(1+C16+(C104-C16)*1/5)*(1+C16+(C104-C16)*2/5)*(1+C16+(C104-C16)*3/5)*(1+C16+(C104-C16)*4/5))*(1+C104)^4)</f>
        <v>1611.7181588054259</v>
      </c>
      <c r="D102" s="6">
        <f t="shared" si="42"/>
        <v>741.2736000858057</v>
      </c>
      <c r="E102" s="6">
        <f t="shared" si="42"/>
        <v>614.67156459975581</v>
      </c>
      <c r="F102" s="6">
        <f t="shared" si="42"/>
        <v>226.85643411456795</v>
      </c>
      <c r="G102" s="6">
        <f t="shared" si="42"/>
        <v>313.05945884526244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167</v>
      </c>
      <c r="C103" s="6">
        <f t="shared" ref="C103:J103" si="43">C97/(((1+C16)*(1+C16+(C104-C16)*1/5)*(1+C16+(C104-C16)*2/5)*(1+C16+(C104-C16)*3/5)*(1+C16+(C104-C16)*4/5))*(1+C104)^5)</f>
        <v>1544.7959381404332</v>
      </c>
      <c r="D103" s="6">
        <f t="shared" si="43"/>
        <v>708.42357497524551</v>
      </c>
      <c r="E103" s="6">
        <f t="shared" si="43"/>
        <v>589.14899673768639</v>
      </c>
      <c r="F103" s="6">
        <f t="shared" si="43"/>
        <v>218.49299321719079</v>
      </c>
      <c r="G103" s="6">
        <f t="shared" si="43"/>
        <v>297.14554509146893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168</v>
      </c>
      <c r="C104" s="11">
        <f>MAX((Inputs!B18+((1+(1-Inputs!B22)*(Inputs!B36/(1-Inputs!B36)))/(1+(1-Inputs!B22)*0.25))*Inputs!B19+IF(ISBLANK(C17),Inputs!B24,C17)+Inputs!B25+Inputs!B39)*(1-Inputs!B36)+Inputs!B38*Inputs!B36,C15)</f>
        <v>7.3971573240380117E-2</v>
      </c>
      <c r="D104" s="11">
        <f>MAX((Inputs!B18+((1+(1-Inputs!B22)*(Inputs!B36/(1-Inputs!B36)))/(1+(1-Inputs!B22)*0.25))*Inputs!B19+IF(ISBLANK(D17),Inputs!B24,D17)+Inputs!B25+Inputs!B39)*(1-Inputs!B36)+Inputs!B38*Inputs!B36,D15)</f>
        <v>7.3971573240380117E-2</v>
      </c>
      <c r="E104" s="11">
        <f>MAX((Inputs!B18+((1+(1-Inputs!B22)*(Inputs!B36/(1-Inputs!B36)))/(1+(1-Inputs!B22)*0.25))*Inputs!B19+IF(ISBLANK(E17),Inputs!B24,E17)+Inputs!B25+Inputs!B39)*(1-Inputs!B36)+Inputs!B38*Inputs!B36,E15)</f>
        <v>7.3971573240380117E-2</v>
      </c>
      <c r="F104" s="11">
        <f>MAX((Inputs!B18+((1+(1-Inputs!B22)*(Inputs!B36/(1-Inputs!B36)))/(1+(1-Inputs!B22)*0.25))*Inputs!B19+IF(ISBLANK(F17),Inputs!B24,F17)+Inputs!B25+Inputs!B39)*(1-Inputs!B36)+Inputs!B38*Inputs!B36,F15)</f>
        <v>7.3971573240380117E-2</v>
      </c>
      <c r="G104" s="11">
        <f>MAX((Inputs!B18+((1+(1-Inputs!B22)*(Inputs!B36/(1-Inputs!B36)))/(1+(1-Inputs!B22)*0.25))*Inputs!B19+IF(ISBLANK(G17),Inputs!B24,G17)+Inputs!B25+Inputs!B39)*(1-Inputs!B36)+Inputs!B38*Inputs!B36,G15)</f>
        <v>7.3971573240380117E-2</v>
      </c>
      <c r="H104" s="11">
        <f>MAX((Inputs!B18+((1+(1-Inputs!B22)*(Inputs!B36/(1-Inputs!B36)))/(1+(1-Inputs!B22)*0.25))*Inputs!B19+IF(ISBLANK(H17),Inputs!B24,H17)+Inputs!B25+Inputs!B39)*(1-Inputs!B36)+Inputs!B38*Inputs!B36,H15)</f>
        <v>7.3971573240380117E-2</v>
      </c>
      <c r="I104" s="11">
        <f>MAX((Inputs!B18+((1+(1-Inputs!B22)*(Inputs!B36/(1-Inputs!B36)))/(1+(1-Inputs!B22)*0.25))*Inputs!B19+IF(ISBLANK(I17),Inputs!B24,I17)+Inputs!B25+Inputs!B39)*(1-Inputs!B36)+Inputs!B38*Inputs!B36,I15)</f>
        <v>7.3971573240380117E-2</v>
      </c>
      <c r="J104" s="11">
        <f>MAX((Inputs!B18+((1+(1-Inputs!B22)*(Inputs!B36/(1-Inputs!B36)))/(1+(1-Inputs!B22)*0.25))*Inputs!B19+IF(ISBLANK(J17),Inputs!B24,J17)+Inputs!B25+Inputs!B39)*(1-Inputs!B36)+Inputs!B38*Inputs!B36,J15)</f>
        <v>7.3971573240380117E-2</v>
      </c>
    </row>
    <row r="105" spans="1:11" x14ac:dyDescent="0.25">
      <c r="A105" s="4" t="s">
        <v>169</v>
      </c>
      <c r="C105" s="6">
        <f t="shared" ref="C105:J105" si="44">SUM(C57:C61,C99:C103)</f>
        <v>17677.68805500686</v>
      </c>
      <c r="D105" s="6">
        <f t="shared" si="44"/>
        <v>7960.1611912587923</v>
      </c>
      <c r="E105" s="6">
        <f t="shared" si="44"/>
        <v>6469.4068621441766</v>
      </c>
      <c r="F105" s="6">
        <f t="shared" si="44"/>
        <v>2232.6012776681114</v>
      </c>
      <c r="G105" s="6">
        <f t="shared" si="44"/>
        <v>3588.5728219220614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170</v>
      </c>
      <c r="C106" s="6">
        <f t="shared" ref="C106:J106" si="45">IF(C5=0,0,C97*(1+C13)/(C104-C13))</f>
        <v>73924.053900830389</v>
      </c>
      <c r="D106" s="6">
        <f t="shared" si="45"/>
        <v>31671.175698860447</v>
      </c>
      <c r="E106" s="6">
        <f t="shared" si="45"/>
        <v>28192.903098181017</v>
      </c>
      <c r="F106" s="6">
        <f t="shared" si="45"/>
        <v>11833.246659711127</v>
      </c>
      <c r="G106" s="6">
        <f t="shared" si="45"/>
        <v>11502.052034950155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171</v>
      </c>
      <c r="C107" s="6">
        <f t="shared" ref="C107:J107" si="46">C106/(((1+C16)*(1+C16+(C104-C16)*1/5)*(1+C16+(C104-C16)*2/5)*(1+C16+(C104-C16)*3/5)*(1+C16+(C104-C16)*4/5))*(1+C104)^5)</f>
        <v>35659.224496468603</v>
      </c>
      <c r="D107" s="6">
        <f t="shared" si="46"/>
        <v>15277.430074760541</v>
      </c>
      <c r="E107" s="6">
        <f t="shared" si="46"/>
        <v>13599.593200528321</v>
      </c>
      <c r="F107" s="6">
        <f t="shared" si="46"/>
        <v>5708.0798048060833</v>
      </c>
      <c r="G107" s="6">
        <f t="shared" si="46"/>
        <v>5548.3193093627651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172</v>
      </c>
      <c r="C109" s="20">
        <f t="shared" ref="C109:J109" si="47">C105+C107</f>
        <v>53336.912551475463</v>
      </c>
      <c r="D109" s="20">
        <f t="shared" si="47"/>
        <v>23237.591266019335</v>
      </c>
      <c r="E109" s="20">
        <f t="shared" si="47"/>
        <v>20069.000062672498</v>
      </c>
      <c r="F109" s="20">
        <f t="shared" si="47"/>
        <v>7940.6810824741951</v>
      </c>
      <c r="G109" s="20">
        <f t="shared" si="47"/>
        <v>9136.892131284827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113721.07709392632</v>
      </c>
    </row>
    <row r="110" spans="1:11" x14ac:dyDescent="0.25">
      <c r="A110" s="4" t="s">
        <v>173</v>
      </c>
      <c r="K110" s="11">
        <f>IFERROR(SUMPRODUCT(C109:J109,C16:J16)/SUM(C109:J109),0)</f>
        <v>7.9493262825082331E-2</v>
      </c>
    </row>
    <row r="111" spans="1:11" x14ac:dyDescent="0.25">
      <c r="A111" s="4" t="s">
        <v>174</v>
      </c>
      <c r="K111" s="5">
        <v>6727</v>
      </c>
    </row>
    <row r="112" spans="1:11" x14ac:dyDescent="0.25">
      <c r="A112" s="4" t="s">
        <v>175</v>
      </c>
      <c r="K112" s="5">
        <v>2075</v>
      </c>
    </row>
    <row r="113" spans="1:11" x14ac:dyDescent="0.25">
      <c r="A113" s="4" t="s">
        <v>176</v>
      </c>
      <c r="K113" s="5">
        <v>-5089.7667674192826</v>
      </c>
    </row>
    <row r="114" spans="1:11" x14ac:dyDescent="0.25">
      <c r="A114" s="4" t="s">
        <v>177</v>
      </c>
      <c r="K114" s="5">
        <v>0</v>
      </c>
    </row>
    <row r="115" spans="1:11" x14ac:dyDescent="0.25">
      <c r="A115" s="4" t="s">
        <v>178</v>
      </c>
      <c r="K115" s="5">
        <v>0</v>
      </c>
    </row>
    <row r="116" spans="1:11" x14ac:dyDescent="0.25">
      <c r="A116" s="4" t="s">
        <v>179</v>
      </c>
      <c r="K116" s="5">
        <v>-42.5</v>
      </c>
    </row>
    <row r="117" spans="1:11" x14ac:dyDescent="0.25">
      <c r="A117" s="4" t="s">
        <v>180</v>
      </c>
      <c r="K117" s="5">
        <v>0</v>
      </c>
    </row>
    <row r="118" spans="1:11" x14ac:dyDescent="0.25">
      <c r="A118" s="4" t="s">
        <v>181</v>
      </c>
      <c r="K118" s="5">
        <v>0</v>
      </c>
    </row>
    <row r="119" spans="1:11" x14ac:dyDescent="0.25">
      <c r="A119" s="4" t="s">
        <v>182</v>
      </c>
      <c r="K119" s="20">
        <f>K109+K113+K114+K115+K116+K117+K118-K111-K112</f>
        <v>99786.810326507039</v>
      </c>
    </row>
    <row r="120" spans="1:11" x14ac:dyDescent="0.25">
      <c r="A120" s="4" t="s">
        <v>183</v>
      </c>
      <c r="K120" s="6">
        <f>Inputs!B11</f>
        <v>1150</v>
      </c>
    </row>
    <row r="122" spans="1:11" ht="15.75" customHeight="1" x14ac:dyDescent="0.25">
      <c r="A122" s="4" t="s">
        <v>184</v>
      </c>
      <c r="K122" s="21">
        <f>K119/K120</f>
        <v>86.771139414353954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186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/>
      <c r="I4" s="14"/>
      <c r="J4" s="14"/>
    </row>
    <row r="5" spans="1:11" x14ac:dyDescent="0.25">
      <c r="A5" s="4" t="s">
        <v>65</v>
      </c>
      <c r="C5" s="5">
        <v>24430</v>
      </c>
      <c r="D5" s="5">
        <v>18643</v>
      </c>
      <c r="E5" s="5">
        <v>17778</v>
      </c>
      <c r="F5" s="5">
        <v>6884</v>
      </c>
      <c r="G5" s="5">
        <v>17874</v>
      </c>
      <c r="H5" s="5"/>
      <c r="I5" s="5"/>
      <c r="J5" s="5"/>
    </row>
    <row r="6" spans="1:11" x14ac:dyDescent="0.25">
      <c r="A6" s="4" t="s">
        <v>66</v>
      </c>
      <c r="C6" s="7">
        <v>1.4999999999999999E-2</v>
      </c>
      <c r="D6" s="7">
        <v>1.9055451156394891E-2</v>
      </c>
      <c r="E6" s="7">
        <v>3.4055451156394891E-2</v>
      </c>
      <c r="F6" s="7">
        <v>3.9055451156394902E-2</v>
      </c>
      <c r="G6" s="7">
        <v>9.0554511563948926E-3</v>
      </c>
      <c r="H6" s="7"/>
      <c r="I6" s="7"/>
      <c r="J6" s="7"/>
    </row>
    <row r="7" spans="1:11" x14ac:dyDescent="0.25">
      <c r="A7" s="4" t="s">
        <v>67</v>
      </c>
      <c r="C7" s="7">
        <v>0.115</v>
      </c>
      <c r="D7" s="7">
        <v>3.1E-2</v>
      </c>
      <c r="E7" s="7">
        <v>4.0110902312789777E-2</v>
      </c>
      <c r="F7" s="7">
        <v>1.411090231278978E-2</v>
      </c>
      <c r="G7" s="7">
        <v>4.0999999999999988E-2</v>
      </c>
      <c r="H7" s="7"/>
      <c r="I7" s="7"/>
      <c r="J7" s="7"/>
    </row>
    <row r="8" spans="1:11" x14ac:dyDescent="0.25">
      <c r="A8" s="4" t="s">
        <v>68</v>
      </c>
      <c r="C8" s="15">
        <v>0.129</v>
      </c>
      <c r="D8" s="15">
        <v>4.1000000000000002E-2</v>
      </c>
      <c r="E8" s="15">
        <v>6.5000000000000002E-2</v>
      </c>
      <c r="F8" s="15">
        <v>5.5E-2</v>
      </c>
      <c r="G8" s="15">
        <v>5.8000000000000003E-2</v>
      </c>
      <c r="H8" s="15"/>
      <c r="I8" s="15"/>
      <c r="J8" s="15"/>
    </row>
    <row r="9" spans="1:11" x14ac:dyDescent="0.25">
      <c r="A9" s="4" t="s">
        <v>69</v>
      </c>
      <c r="C9" s="7">
        <v>0.11311090231278979</v>
      </c>
      <c r="D9" s="7">
        <v>4.8110902312789791E-2</v>
      </c>
      <c r="E9" s="7">
        <v>4.8110902312789791E-2</v>
      </c>
      <c r="F9" s="7">
        <v>3.3110902312789778E-2</v>
      </c>
      <c r="G9" s="7">
        <v>3.3110902312789778E-2</v>
      </c>
      <c r="H9" s="7"/>
      <c r="I9" s="7"/>
      <c r="J9" s="7"/>
    </row>
    <row r="10" spans="1:11" x14ac:dyDescent="0.25">
      <c r="A10" s="4" t="s">
        <v>70</v>
      </c>
      <c r="C10" s="7">
        <v>0.10100000000000001</v>
      </c>
      <c r="D10" s="7">
        <v>1.6E-2</v>
      </c>
      <c r="E10" s="7">
        <v>0.09</v>
      </c>
      <c r="F10" s="7">
        <v>5.7000000000000002E-2</v>
      </c>
      <c r="G10" s="7">
        <v>6.7000000000000004E-2</v>
      </c>
      <c r="H10" s="7"/>
      <c r="I10" s="7"/>
      <c r="J10" s="7"/>
    </row>
    <row r="11" spans="1:11" x14ac:dyDescent="0.25">
      <c r="A11" s="4" t="s">
        <v>71</v>
      </c>
      <c r="C11" s="7">
        <v>7.4999999999999997E-2</v>
      </c>
      <c r="D11" s="7">
        <v>1.7999999999999999E-2</v>
      </c>
      <c r="E11" s="7">
        <v>6.7000000000000004E-2</v>
      </c>
      <c r="F11" s="7">
        <v>4.2000000000000003E-2</v>
      </c>
      <c r="G11" s="7">
        <v>3.9E-2</v>
      </c>
      <c r="H11" s="7"/>
      <c r="I11" s="7"/>
      <c r="J11" s="7"/>
    </row>
    <row r="12" spans="1:11" x14ac:dyDescent="0.25">
      <c r="A12" s="4" t="s">
        <v>72</v>
      </c>
      <c r="C12" s="7">
        <v>2.5999999999999999E-2</v>
      </c>
      <c r="D12" s="7">
        <v>5.0000000000000001E-3</v>
      </c>
      <c r="E12" s="7">
        <v>2.3E-2</v>
      </c>
      <c r="F12" s="7">
        <v>1.4999999999999999E-2</v>
      </c>
      <c r="G12" s="7">
        <v>2.8000000000000001E-2</v>
      </c>
      <c r="H12" s="7"/>
      <c r="I12" s="7"/>
      <c r="J12" s="7"/>
    </row>
    <row r="13" spans="1:11" x14ac:dyDescent="0.25">
      <c r="A13" s="4" t="s">
        <v>73</v>
      </c>
      <c r="C13" s="7">
        <v>2.0622180462557961E-2</v>
      </c>
      <c r="D13" s="7">
        <v>1.7622180462557951E-2</v>
      </c>
      <c r="E13" s="7">
        <v>2.0622180462557961E-2</v>
      </c>
      <c r="F13" s="7">
        <v>2.5622180462557959E-2</v>
      </c>
      <c r="G13" s="7">
        <v>1.0622180462557961E-2</v>
      </c>
      <c r="H13" s="7"/>
      <c r="I13" s="7"/>
      <c r="J13" s="7"/>
    </row>
    <row r="14" spans="1:11" x14ac:dyDescent="0.25">
      <c r="A14" s="4" t="s">
        <v>74</v>
      </c>
      <c r="C14" s="9">
        <v>1.022</v>
      </c>
      <c r="D14" s="9">
        <v>1.022</v>
      </c>
      <c r="E14" s="9">
        <v>1.022</v>
      </c>
      <c r="F14" s="9">
        <v>1.022</v>
      </c>
      <c r="G14" s="9">
        <v>1.022</v>
      </c>
      <c r="H14" s="9"/>
      <c r="I14" s="9"/>
      <c r="J14" s="9"/>
    </row>
    <row r="15" spans="1:11" x14ac:dyDescent="0.25">
      <c r="A15" s="4" t="s">
        <v>75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7.9493262825082317E-2</v>
      </c>
      <c r="D16" s="11">
        <f>MAX((MAX(Inputs!B18+((1-0.33)*D14*(1+(1-Inputs!B22)*Inputs!B21)+0.33)*Inputs!B19+IF(ISBLANK(D17),Inputs!B24,D17)+Inputs!B25+Inputs!B39,MIN(Inputs!B27,0.08)+0.025))*Inputs!B29+Inputs!B28*Inputs!B30,D15)</f>
        <v>7.9493262825082317E-2</v>
      </c>
      <c r="E16" s="11">
        <f>MAX((MAX(Inputs!B18+((1-0.33)*E14*(1+(1-Inputs!B22)*Inputs!B21)+0.33)*Inputs!B19+IF(ISBLANK(E17),Inputs!B24,E17)+Inputs!B25+Inputs!B39,MIN(Inputs!B27,0.08)+0.025))*Inputs!B29+Inputs!B28*Inputs!B30,E15)</f>
        <v>7.9493262825082317E-2</v>
      </c>
      <c r="F16" s="11">
        <f>MAX((MAX(Inputs!B18+((1-0.33)*F14*(1+(1-Inputs!B22)*Inputs!B21)+0.33)*Inputs!B19+IF(ISBLANK(F17),Inputs!B24,F17)+Inputs!B25+Inputs!B39,MIN(Inputs!B27,0.08)+0.025))*Inputs!B29+Inputs!B28*Inputs!B30,F15)</f>
        <v>7.9493262825082317E-2</v>
      </c>
      <c r="G16" s="11">
        <f>MAX((MAX(Inputs!B18+((1-0.33)*G14*(1+(1-Inputs!B22)*Inputs!B21)+0.33)*Inputs!B19+IF(ISBLANK(G17),Inputs!B24,G17)+Inputs!B25+Inputs!B39,MIN(Inputs!B27,0.08)+0.025))*Inputs!B29+Inputs!B28*Inputs!B30,G15)</f>
        <v>7.9493262825082317E-2</v>
      </c>
      <c r="H16" s="11">
        <f>MAX((MAX(Inputs!B18+((1-0.33)*H14*(1+(1-Inputs!B22)*Inputs!B21)+0.33)*Inputs!B19+IF(ISBLANK(H17),Inputs!B24,H17)+Inputs!B25+Inputs!B39,MIN(Inputs!B27,0.08)+0.025))*Inputs!B29+Inputs!B28*Inputs!B30,H15)</f>
        <v>5.5469629629629633E-2</v>
      </c>
      <c r="I16" s="11">
        <f>MAX((MAX(Inputs!B18+((1-0.33)*I14*(1+(1-Inputs!B22)*Inputs!B21)+0.33)*Inputs!B19+IF(ISBLANK(I17),Inputs!B24,I17)+Inputs!B25+Inputs!B39,MIN(Inputs!B27,0.08)+0.025))*Inputs!B29+Inputs!B28*Inputs!B30,I15)</f>
        <v>5.5469629629629633E-2</v>
      </c>
      <c r="J16" s="11">
        <f>MAX((MAX(Inputs!B18+((1-0.33)*J14*(1+(1-Inputs!B22)*Inputs!B21)+0.33)*Inputs!B19+IF(ISBLANK(J17),Inputs!B24,J17)+Inputs!B25+Inputs!B39,MIN(Inputs!B27,0.08)+0.025))*Inputs!B29+Inputs!B28*Inputs!B30,J15)</f>
        <v>5.5469629629629633E-2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/>
      <c r="I18" s="18"/>
      <c r="J18" s="18"/>
    </row>
    <row r="19" spans="1:10" ht="39.950000000000003" customHeight="1" x14ac:dyDescent="0.25">
      <c r="A19" s="17" t="s">
        <v>84</v>
      </c>
      <c r="C19" s="18" t="s">
        <v>85</v>
      </c>
      <c r="D19" s="18" t="s">
        <v>86</v>
      </c>
      <c r="E19" s="18" t="s">
        <v>87</v>
      </c>
      <c r="F19" s="18" t="s">
        <v>88</v>
      </c>
      <c r="G19" s="18" t="s">
        <v>89</v>
      </c>
      <c r="H19" s="18"/>
      <c r="I19" s="18"/>
      <c r="J19" s="18"/>
    </row>
    <row r="20" spans="1:10" ht="27.95" customHeight="1" x14ac:dyDescent="0.25">
      <c r="A20" s="17" t="s">
        <v>90</v>
      </c>
      <c r="C20" s="18" t="s">
        <v>91</v>
      </c>
      <c r="D20" s="18" t="s">
        <v>92</v>
      </c>
      <c r="E20" s="18" t="s">
        <v>93</v>
      </c>
      <c r="F20" s="18" t="s">
        <v>94</v>
      </c>
      <c r="G20" s="18" t="s">
        <v>95</v>
      </c>
      <c r="H20" s="18"/>
      <c r="I20" s="18"/>
      <c r="J20" s="18"/>
    </row>
    <row r="21" spans="1:10" x14ac:dyDescent="0.25">
      <c r="A21" s="4" t="s">
        <v>96</v>
      </c>
      <c r="C21" s="6">
        <f t="shared" ref="C21:J21" si="0">C5*(1+C6)^1</f>
        <v>24796.449999999997</v>
      </c>
      <c r="D21" s="6">
        <f t="shared" si="0"/>
        <v>18998.250775908669</v>
      </c>
      <c r="E21" s="6">
        <f t="shared" si="0"/>
        <v>18383.437810658386</v>
      </c>
      <c r="F21" s="6">
        <f t="shared" si="0"/>
        <v>7152.857725760623</v>
      </c>
      <c r="G21" s="6">
        <f t="shared" si="0"/>
        <v>18035.857133969403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97</v>
      </c>
      <c r="C22" s="6">
        <f t="shared" ref="C22:J22" si="1">C5*(1+C6)^2</f>
        <v>25168.396749999993</v>
      </c>
      <c r="D22" s="6">
        <f t="shared" si="1"/>
        <v>19360.271015625942</v>
      </c>
      <c r="E22" s="6">
        <f t="shared" si="1"/>
        <v>19009.494079105887</v>
      </c>
      <c r="F22" s="6">
        <f t="shared" si="1"/>
        <v>7432.2158112977095</v>
      </c>
      <c r="G22" s="6">
        <f t="shared" si="1"/>
        <v>18199.179957309781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98</v>
      </c>
      <c r="C23" s="6">
        <f t="shared" ref="C23:J23" si="2">C5*(1+C6)^3</f>
        <v>25545.92270124999</v>
      </c>
      <c r="D23" s="6">
        <f t="shared" si="2"/>
        <v>19729.189714338772</v>
      </c>
      <c r="E23" s="6">
        <f t="shared" si="2"/>
        <v>19656.870976224654</v>
      </c>
      <c r="F23" s="6">
        <f t="shared" si="2"/>
        <v>7722.4843528996334</v>
      </c>
      <c r="G23" s="6">
        <f t="shared" si="2"/>
        <v>18363.98174249964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99</v>
      </c>
      <c r="C24" s="6">
        <f t="shared" ref="C24:J24" si="3">C5*(1+C6)^4</f>
        <v>25929.111541768736</v>
      </c>
      <c r="D24" s="6">
        <f t="shared" si="3"/>
        <v>20105.1383252956</v>
      </c>
      <c r="E24" s="6">
        <f t="shared" si="3"/>
        <v>20326.294585643031</v>
      </c>
      <c r="F24" s="6">
        <f t="shared" si="3"/>
        <v>8024.0894633503303</v>
      </c>
      <c r="G24" s="6">
        <f t="shared" si="3"/>
        <v>18530.275882205777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100</v>
      </c>
      <c r="C25" s="6">
        <f t="shared" ref="C25:J25" si="4">C5*(1+C6)^5</f>
        <v>26318.048214895265</v>
      </c>
      <c r="D25" s="6">
        <f t="shared" si="4"/>
        <v>20488.250806645836</v>
      </c>
      <c r="E25" s="6">
        <f t="shared" si="4"/>
        <v>21018.515718094892</v>
      </c>
      <c r="F25" s="6">
        <f t="shared" si="4"/>
        <v>8337.4738974607535</v>
      </c>
      <c r="G25" s="6">
        <f t="shared" si="4"/>
        <v>18698.075890371612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101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102</v>
      </c>
      <c r="C27" s="11">
        <f t="shared" ref="C27:J27" si="5">IF(ISBLANK(C9),C7,C7+(C9-C7)*(0)/4)</f>
        <v>0.115</v>
      </c>
      <c r="D27" s="11">
        <f t="shared" si="5"/>
        <v>3.1E-2</v>
      </c>
      <c r="E27" s="11">
        <f t="shared" si="5"/>
        <v>4.0110902312789777E-2</v>
      </c>
      <c r="F27" s="11">
        <f t="shared" si="5"/>
        <v>1.411090231278978E-2</v>
      </c>
      <c r="G27" s="11">
        <f t="shared" si="5"/>
        <v>4.0999999999999988E-2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103</v>
      </c>
      <c r="C28" s="11">
        <f t="shared" ref="C28:J28" si="6">IF(ISBLANK(C9),C7,C7+(C9-C7)*(1)/4)</f>
        <v>0.11452772557819746</v>
      </c>
      <c r="D28" s="11">
        <f t="shared" si="6"/>
        <v>3.5277725578197444E-2</v>
      </c>
      <c r="E28" s="11">
        <f t="shared" si="6"/>
        <v>4.2110902312789779E-2</v>
      </c>
      <c r="F28" s="11">
        <f t="shared" si="6"/>
        <v>1.8860902312789779E-2</v>
      </c>
      <c r="G28" s="11">
        <f t="shared" si="6"/>
        <v>3.9027725578197434E-2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104</v>
      </c>
      <c r="C29" s="11">
        <f t="shared" ref="C29:J29" si="7">IF(ISBLANK(C9),C7,C7+(C9-C7)*(2)/4)</f>
        <v>0.1140554511563949</v>
      </c>
      <c r="D29" s="11">
        <f t="shared" si="7"/>
        <v>3.9555451156394895E-2</v>
      </c>
      <c r="E29" s="11">
        <f t="shared" si="7"/>
        <v>4.4110902312789788E-2</v>
      </c>
      <c r="F29" s="11">
        <f t="shared" si="7"/>
        <v>2.3610902312789776E-2</v>
      </c>
      <c r="G29" s="11">
        <f t="shared" si="7"/>
        <v>3.7055451156394886E-2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105</v>
      </c>
      <c r="C30" s="11">
        <f t="shared" ref="C30:J30" si="8">IF(ISBLANK(C9),C7,C7+(C9-C7)*(3)/4)</f>
        <v>0.11358317673459234</v>
      </c>
      <c r="D30" s="11">
        <f t="shared" si="8"/>
        <v>4.3833176734592347E-2</v>
      </c>
      <c r="E30" s="11">
        <f t="shared" si="8"/>
        <v>4.6110902312789789E-2</v>
      </c>
      <c r="F30" s="11">
        <f t="shared" si="8"/>
        <v>2.8360902312789777E-2</v>
      </c>
      <c r="G30" s="11">
        <f t="shared" si="8"/>
        <v>3.5083176734592332E-2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106</v>
      </c>
      <c r="C31" s="11">
        <f t="shared" ref="C31:J31" si="9">IF(ISBLANK(C9),C7,C7+(C9-C7)*(4)/4)</f>
        <v>0.11311090231278979</v>
      </c>
      <c r="D31" s="11">
        <f t="shared" si="9"/>
        <v>4.8110902312789791E-2</v>
      </c>
      <c r="E31" s="11">
        <f t="shared" si="9"/>
        <v>4.8110902312789791E-2</v>
      </c>
      <c r="F31" s="11">
        <f t="shared" si="9"/>
        <v>3.3110902312789778E-2</v>
      </c>
      <c r="G31" s="11">
        <f t="shared" si="9"/>
        <v>3.3110902312789778E-2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107</v>
      </c>
      <c r="C33" s="6">
        <f t="shared" ref="C33:J37" si="10">C21*C27</f>
        <v>2851.5917499999996</v>
      </c>
      <c r="D33" s="6">
        <f t="shared" si="10"/>
        <v>588.94577405316875</v>
      </c>
      <c r="E33" s="6">
        <f t="shared" si="10"/>
        <v>737.3762781965645</v>
      </c>
      <c r="F33" s="6">
        <f t="shared" si="10"/>
        <v>100.93327662549181</v>
      </c>
      <c r="G33" s="6">
        <f t="shared" si="10"/>
        <v>739.47014249274525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108</v>
      </c>
      <c r="C34" s="6">
        <f t="shared" si="10"/>
        <v>2882.479236227196</v>
      </c>
      <c r="D34" s="6">
        <f t="shared" si="10"/>
        <v>682.98632800878192</v>
      </c>
      <c r="E34" s="6">
        <f t="shared" si="10"/>
        <v>800.50694818078375</v>
      </c>
      <c r="F34" s="6">
        <f t="shared" si="10"/>
        <v>140.17829638445772</v>
      </c>
      <c r="G34" s="6">
        <f t="shared" si="10"/>
        <v>710.27260112211707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109</v>
      </c>
      <c r="C35" s="6">
        <f t="shared" si="10"/>
        <v>2913.651738897458</v>
      </c>
      <c r="D35" s="6">
        <f t="shared" si="10"/>
        <v>780.39700010077581</v>
      </c>
      <c r="E35" s="6">
        <f t="shared" si="10"/>
        <v>867.08231540735858</v>
      </c>
      <c r="F35" s="6">
        <f t="shared" si="10"/>
        <v>182.33482366836083</v>
      </c>
      <c r="G35" s="6">
        <f t="shared" si="10"/>
        <v>680.4856284961229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110</v>
      </c>
      <c r="C36" s="6">
        <f t="shared" si="10"/>
        <v>2945.1108588196762</v>
      </c>
      <c r="D36" s="6">
        <f t="shared" si="10"/>
        <v>881.27208148610805</v>
      </c>
      <c r="E36" s="6">
        <f t="shared" si="10"/>
        <v>937.26378401957379</v>
      </c>
      <c r="F36" s="6">
        <f t="shared" si="10"/>
        <v>227.57041741916447</v>
      </c>
      <c r="G36" s="6">
        <f t="shared" si="10"/>
        <v>650.10094371617913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111</v>
      </c>
      <c r="C37" s="6">
        <f t="shared" si="10"/>
        <v>2976.8581806983102</v>
      </c>
      <c r="D37" s="6">
        <f t="shared" si="10"/>
        <v>985.70823311847448</v>
      </c>
      <c r="E37" s="6">
        <f t="shared" si="10"/>
        <v>1011.2197564731001</v>
      </c>
      <c r="F37" s="6">
        <f t="shared" si="10"/>
        <v>276.06128375425766</v>
      </c>
      <c r="G37" s="6">
        <f t="shared" si="10"/>
        <v>619.11016424322418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112</v>
      </c>
      <c r="C39" s="6">
        <f>C33*(1-Inputs!B22)</f>
        <v>2013.2237754999996</v>
      </c>
      <c r="D39" s="6">
        <f>D33*(1-Inputs!B22)</f>
        <v>415.79571648153711</v>
      </c>
      <c r="E39" s="6">
        <f>E33*(1-Inputs!B22)</f>
        <v>520.58765240677451</v>
      </c>
      <c r="F39" s="6">
        <f>F33*(1-Inputs!B22)</f>
        <v>71.258893297597211</v>
      </c>
      <c r="G39" s="6">
        <f>G33*(1-Inputs!B22)</f>
        <v>522.06592059987815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113</v>
      </c>
      <c r="C40" s="6">
        <f>C34*(1-Inputs!B22)</f>
        <v>2035.0303407764002</v>
      </c>
      <c r="D40" s="6">
        <f>D34*(1-Inputs!B22)</f>
        <v>482.18834757420001</v>
      </c>
      <c r="E40" s="6">
        <f>E34*(1-Inputs!B22)</f>
        <v>565.15790541563331</v>
      </c>
      <c r="F40" s="6">
        <f>F34*(1-Inputs!B22)</f>
        <v>98.965877247427144</v>
      </c>
      <c r="G40" s="6">
        <f>G34*(1-Inputs!B22)</f>
        <v>501.45245639221463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114</v>
      </c>
      <c r="C41" s="6">
        <f>C35*(1-Inputs!B22)</f>
        <v>2057.0381276616054</v>
      </c>
      <c r="D41" s="6">
        <f>D35*(1-Inputs!B22)</f>
        <v>550.96028207114773</v>
      </c>
      <c r="E41" s="6">
        <f>E35*(1-Inputs!B22)</f>
        <v>612.16011467759517</v>
      </c>
      <c r="F41" s="6">
        <f>F35*(1-Inputs!B22)</f>
        <v>128.72838550986273</v>
      </c>
      <c r="G41" s="6">
        <f>G35*(1-Inputs!B22)</f>
        <v>480.42285371826273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115</v>
      </c>
      <c r="C42" s="6">
        <f>C36*(1-Inputs!B22)</f>
        <v>2079.2482663266915</v>
      </c>
      <c r="D42" s="6">
        <f>D36*(1-Inputs!B22)</f>
        <v>622.17808952919222</v>
      </c>
      <c r="E42" s="6">
        <f>E36*(1-Inputs!B22)</f>
        <v>661.70823151781906</v>
      </c>
      <c r="F42" s="6">
        <f>F36*(1-Inputs!B22)</f>
        <v>160.66471469793009</v>
      </c>
      <c r="G42" s="6">
        <f>G36*(1-Inputs!B22)</f>
        <v>458.97126626362245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116</v>
      </c>
      <c r="C43" s="6">
        <f>C37*(1-Inputs!B22)</f>
        <v>2101.6618755730069</v>
      </c>
      <c r="D43" s="6">
        <f>D37*(1-Inputs!B22)</f>
        <v>695.91001258164295</v>
      </c>
      <c r="E43" s="6">
        <f>E37*(1-Inputs!B22)</f>
        <v>713.9211480700086</v>
      </c>
      <c r="F43" s="6">
        <f>F37*(1-Inputs!B22)</f>
        <v>194.8992663305059</v>
      </c>
      <c r="G43" s="6">
        <f>G37*(1-Inputs!B22)</f>
        <v>437.09177595571623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117</v>
      </c>
      <c r="C45" s="6">
        <f t="shared" ref="C45:J45" si="11">C21*IF(ISBLANK(C26),C12,C12+(C26-C12)*(0)/4)</f>
        <v>644.70769999999993</v>
      </c>
      <c r="D45" s="6">
        <f t="shared" si="11"/>
        <v>94.991253879543351</v>
      </c>
      <c r="E45" s="6">
        <f t="shared" si="11"/>
        <v>422.81906964514286</v>
      </c>
      <c r="F45" s="6">
        <f t="shared" si="11"/>
        <v>107.29286588640934</v>
      </c>
      <c r="G45" s="6">
        <f t="shared" si="11"/>
        <v>505.00399975114328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118</v>
      </c>
      <c r="C46" s="6">
        <f t="shared" ref="C46:J46" si="12">C22*IF(ISBLANK(C26),C12,C12+(C26-C12)*(1)/4)</f>
        <v>654.37831549999976</v>
      </c>
      <c r="D46" s="6">
        <f t="shared" si="12"/>
        <v>96.801355078129717</v>
      </c>
      <c r="E46" s="6">
        <f t="shared" si="12"/>
        <v>437.21836381943541</v>
      </c>
      <c r="F46" s="6">
        <f t="shared" si="12"/>
        <v>111.48323716946564</v>
      </c>
      <c r="G46" s="6">
        <f t="shared" si="12"/>
        <v>509.57703880467392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119</v>
      </c>
      <c r="C47" s="6">
        <f t="shared" ref="C47:J47" si="13">C23*IF(ISBLANK(C26),C12,C12+(C26-C12)*(2)/4)</f>
        <v>664.19399023249969</v>
      </c>
      <c r="D47" s="6">
        <f t="shared" si="13"/>
        <v>98.645948571693864</v>
      </c>
      <c r="E47" s="6">
        <f t="shared" si="13"/>
        <v>452.10803245316703</v>
      </c>
      <c r="F47" s="6">
        <f t="shared" si="13"/>
        <v>115.8372652934945</v>
      </c>
      <c r="G47" s="6">
        <f t="shared" si="13"/>
        <v>514.19148878998988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120</v>
      </c>
      <c r="C48" s="6">
        <f t="shared" ref="C48:J48" si="14">C24*IF(ISBLANK(C26),C12,C12+(C26-C12)*(3)/4)</f>
        <v>674.1569000859871</v>
      </c>
      <c r="D48" s="6">
        <f t="shared" si="14"/>
        <v>100.52569162647801</v>
      </c>
      <c r="E48" s="6">
        <f t="shared" si="14"/>
        <v>467.50477546978971</v>
      </c>
      <c r="F48" s="6">
        <f t="shared" si="14"/>
        <v>120.36134195025495</v>
      </c>
      <c r="G48" s="6">
        <f t="shared" si="14"/>
        <v>518.84772470176176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121</v>
      </c>
      <c r="C49" s="6">
        <f t="shared" ref="C49:J49" si="15">C25*IF(ISBLANK(C26),C12,C12+(C26-C12)*(4)/4)</f>
        <v>684.26925358727681</v>
      </c>
      <c r="D49" s="6">
        <f t="shared" si="15"/>
        <v>102.44125403322919</v>
      </c>
      <c r="E49" s="6">
        <f t="shared" si="15"/>
        <v>483.42586151618252</v>
      </c>
      <c r="F49" s="6">
        <f t="shared" si="15"/>
        <v>125.06210846191129</v>
      </c>
      <c r="G49" s="6">
        <f t="shared" si="15"/>
        <v>523.5461249304052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122</v>
      </c>
      <c r="C51" s="6">
        <f t="shared" ref="C51:J55" si="16">C39-C45</f>
        <v>1368.5160754999997</v>
      </c>
      <c r="D51" s="6">
        <f t="shared" si="16"/>
        <v>320.80446260199375</v>
      </c>
      <c r="E51" s="6">
        <f t="shared" si="16"/>
        <v>97.768582761631649</v>
      </c>
      <c r="F51" s="6">
        <f t="shared" si="16"/>
        <v>-36.033972588812134</v>
      </c>
      <c r="G51" s="6">
        <f t="shared" si="16"/>
        <v>17.061920848734871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123</v>
      </c>
      <c r="C52" s="6">
        <f t="shared" si="16"/>
        <v>1380.6520252764003</v>
      </c>
      <c r="D52" s="6">
        <f t="shared" si="16"/>
        <v>385.38699249607032</v>
      </c>
      <c r="E52" s="6">
        <f t="shared" si="16"/>
        <v>127.9395415961979</v>
      </c>
      <c r="F52" s="6">
        <f t="shared" si="16"/>
        <v>-12.517359922038494</v>
      </c>
      <c r="G52" s="6">
        <f t="shared" si="16"/>
        <v>-8.12458241245929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124</v>
      </c>
      <c r="C53" s="6">
        <f t="shared" si="16"/>
        <v>1392.8441374291056</v>
      </c>
      <c r="D53" s="6">
        <f t="shared" si="16"/>
        <v>452.31433349945388</v>
      </c>
      <c r="E53" s="6">
        <f t="shared" si="16"/>
        <v>160.05208222442815</v>
      </c>
      <c r="F53" s="6">
        <f t="shared" si="16"/>
        <v>12.891120216368236</v>
      </c>
      <c r="G53" s="6">
        <f t="shared" si="16"/>
        <v>-33.768635071727147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125</v>
      </c>
      <c r="C54" s="6">
        <f t="shared" si="16"/>
        <v>1405.0913662407042</v>
      </c>
      <c r="D54" s="6">
        <f t="shared" si="16"/>
        <v>521.65239790271426</v>
      </c>
      <c r="E54" s="6">
        <f t="shared" si="16"/>
        <v>194.20345604802935</v>
      </c>
      <c r="F54" s="6">
        <f t="shared" si="16"/>
        <v>40.303372747675141</v>
      </c>
      <c r="G54" s="6">
        <f t="shared" si="16"/>
        <v>-59.876458438139309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126</v>
      </c>
      <c r="C55" s="6">
        <f t="shared" si="16"/>
        <v>1417.3926219857301</v>
      </c>
      <c r="D55" s="6">
        <f t="shared" si="16"/>
        <v>593.4687585484138</v>
      </c>
      <c r="E55" s="6">
        <f t="shared" si="16"/>
        <v>230.49528655382608</v>
      </c>
      <c r="F55" s="6">
        <f t="shared" si="16"/>
        <v>69.837157868594602</v>
      </c>
      <c r="G55" s="6">
        <f t="shared" si="16"/>
        <v>-86.454348974688969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127</v>
      </c>
      <c r="C57" s="6">
        <f t="shared" ref="C57:J57" si="17">C51/((1+C16))</f>
        <v>1267.7393390288807</v>
      </c>
      <c r="D57" s="6">
        <f t="shared" si="17"/>
        <v>297.18060653980746</v>
      </c>
      <c r="E57" s="6">
        <f t="shared" si="17"/>
        <v>90.568960574859787</v>
      </c>
      <c r="F57" s="6">
        <f t="shared" si="17"/>
        <v>-33.380451578279988</v>
      </c>
      <c r="G57" s="6">
        <f t="shared" si="17"/>
        <v>15.805490813423937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128</v>
      </c>
      <c r="C58" s="6">
        <f t="shared" ref="C58:J58" si="18">C52/((1+C16)*(1+C16+(C104-C16)*1/5))</f>
        <v>1186.0114425365539</v>
      </c>
      <c r="D58" s="6">
        <f t="shared" si="18"/>
        <v>331.05617819492522</v>
      </c>
      <c r="E58" s="6">
        <f t="shared" si="18"/>
        <v>109.90297157286601</v>
      </c>
      <c r="F58" s="6">
        <f t="shared" si="18"/>
        <v>-10.752696426106406</v>
      </c>
      <c r="G58" s="6">
        <f t="shared" si="18"/>
        <v>-6.9792007910747129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129</v>
      </c>
      <c r="C59" s="6">
        <f t="shared" ref="C59:J59" si="19">C53/((1+C16)*(1+C16+(C104-C16)*1/5)*(1+C16+(C104-C16)*2/5))</f>
        <v>1110.6487164033085</v>
      </c>
      <c r="D59" s="6">
        <f t="shared" si="19"/>
        <v>360.67376127183951</v>
      </c>
      <c r="E59" s="6">
        <f t="shared" si="19"/>
        <v>127.62493297229089</v>
      </c>
      <c r="F59" s="6">
        <f t="shared" si="19"/>
        <v>10.279331144500631</v>
      </c>
      <c r="G59" s="6">
        <f t="shared" si="19"/>
        <v>-26.926983564960782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130</v>
      </c>
      <c r="C60" s="6">
        <f t="shared" ref="C60:J60" si="20">C54/((1+C16)*(1+C16+(C104-C16)*1/5)*(1+C16+(C104-C16)*2/5)*(1+C16+(C104-C16)*3/5))</f>
        <v>1041.1031162379688</v>
      </c>
      <c r="D60" s="6">
        <f t="shared" si="20"/>
        <v>386.51859238347072</v>
      </c>
      <c r="E60" s="6">
        <f t="shared" si="20"/>
        <v>143.89514314412961</v>
      </c>
      <c r="F60" s="6">
        <f t="shared" si="20"/>
        <v>29.862803210276731</v>
      </c>
      <c r="G60" s="6">
        <f t="shared" si="20"/>
        <v>-44.36549036382101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131</v>
      </c>
      <c r="C61" s="6">
        <f t="shared" ref="C61:J61" si="21">C55/((1+C16)*(1+C16+(C104-C16)*1/5)*(1+C16+(C104-C16)*2/5)*(1+C16+(C104-C16)*3/5)*(1+C16+(C104-C16)*4/5))</f>
        <v>976.87775033817559</v>
      </c>
      <c r="D61" s="6">
        <f t="shared" si="21"/>
        <v>409.02317167035534</v>
      </c>
      <c r="E61" s="6">
        <f t="shared" si="21"/>
        <v>158.85910050583124</v>
      </c>
      <c r="F61" s="6">
        <f t="shared" si="21"/>
        <v>48.132299131843197</v>
      </c>
      <c r="G61" s="6">
        <f t="shared" si="21"/>
        <v>-59.584993334469317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132</v>
      </c>
    </row>
    <row r="63" spans="1:10" x14ac:dyDescent="0.25">
      <c r="A63" s="4" t="s">
        <v>133</v>
      </c>
      <c r="C63" s="6">
        <f t="shared" ref="C63:J63" si="22">C25*(1+(C6+(C13-C6)*1/5))</f>
        <v>26742.411901415984</v>
      </c>
      <c r="D63" s="6">
        <f t="shared" si="22"/>
        <v>20872.790627282015</v>
      </c>
      <c r="E63" s="6">
        <f t="shared" si="22"/>
        <v>21677.841271267625</v>
      </c>
      <c r="F63" s="6">
        <f t="shared" si="22"/>
        <v>8640.6977932772697</v>
      </c>
      <c r="G63" s="6">
        <f t="shared" si="22"/>
        <v>18873.2543680087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134</v>
      </c>
      <c r="C64" s="6">
        <f t="shared" ref="C64:J64" si="23">C63*(1+(C6+(C13-C6)*2/5))</f>
        <v>27203.688346222752</v>
      </c>
      <c r="D64" s="6">
        <f t="shared" si="23"/>
        <v>21258.564525935974</v>
      </c>
      <c r="E64" s="6">
        <f t="shared" si="23"/>
        <v>22299.608211915376</v>
      </c>
      <c r="F64" s="6">
        <f t="shared" si="23"/>
        <v>8931.7350109234849</v>
      </c>
      <c r="G64" s="6">
        <f t="shared" si="23"/>
        <v>19055.987913388828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135</v>
      </c>
      <c r="C65" s="6">
        <f t="shared" ref="C65:J65" si="24">C64*(1+(C6+(C13-C6)*3/5))</f>
        <v>27703.510098493884</v>
      </c>
      <c r="D65" s="6">
        <f t="shared" si="24"/>
        <v>21645.374497398177</v>
      </c>
      <c r="E65" s="6">
        <f t="shared" si="24"/>
        <v>22879.297426096706</v>
      </c>
      <c r="F65" s="6">
        <f t="shared" si="24"/>
        <v>9208.5785028840564</v>
      </c>
      <c r="G65" s="6">
        <f t="shared" si="24"/>
        <v>19246.46182600845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136</v>
      </c>
      <c r="C66" s="6">
        <f t="shared" ref="C66:J66" si="25">C65*(1+(C6+(C13-C6)*4/5))</f>
        <v>28243.666056547314</v>
      </c>
      <c r="D66" s="6">
        <f t="shared" si="25"/>
        <v>22033.017929155827</v>
      </c>
      <c r="E66" s="6">
        <f t="shared" si="25"/>
        <v>23412.58718559612</v>
      </c>
      <c r="F66" s="6">
        <f t="shared" si="25"/>
        <v>9469.2626286355226</v>
      </c>
      <c r="G66" s="6">
        <f t="shared" si="25"/>
        <v>19444.870417633494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137</v>
      </c>
      <c r="C67" s="6">
        <f t="shared" ref="C67:J67" si="26">C66*(1+(C6+(C13-C6)*5/5))</f>
        <v>28826.112034889655</v>
      </c>
      <c r="D67" s="6">
        <f t="shared" si="26"/>
        <v>22421.287747238188</v>
      </c>
      <c r="E67" s="6">
        <f t="shared" si="26"/>
        <v>23895.405783632854</v>
      </c>
      <c r="F67" s="6">
        <f t="shared" si="26"/>
        <v>9711.8857845537786</v>
      </c>
      <c r="G67" s="6">
        <f t="shared" si="26"/>
        <v>19651.417340280652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138</v>
      </c>
      <c r="C69" s="11">
        <f t="shared" ref="C69:J69" si="27">IF(ISBLANK(C9),C7,C9)</f>
        <v>0.11311090231278979</v>
      </c>
      <c r="D69" s="11">
        <f t="shared" si="27"/>
        <v>4.8110902312789791E-2</v>
      </c>
      <c r="E69" s="11">
        <f t="shared" si="27"/>
        <v>4.8110902312789791E-2</v>
      </c>
      <c r="F69" s="11">
        <f t="shared" si="27"/>
        <v>3.3110902312789778E-2</v>
      </c>
      <c r="G69" s="11">
        <f t="shared" si="27"/>
        <v>3.3110902312789778E-2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139</v>
      </c>
      <c r="C70" s="11">
        <f t="shared" ref="C70:J70" si="28">IF(ISBLANK(C9),C7,C9)</f>
        <v>0.11311090231278979</v>
      </c>
      <c r="D70" s="11">
        <f t="shared" si="28"/>
        <v>4.8110902312789791E-2</v>
      </c>
      <c r="E70" s="11">
        <f t="shared" si="28"/>
        <v>4.8110902312789791E-2</v>
      </c>
      <c r="F70" s="11">
        <f t="shared" si="28"/>
        <v>3.3110902312789778E-2</v>
      </c>
      <c r="G70" s="11">
        <f t="shared" si="28"/>
        <v>3.3110902312789778E-2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140</v>
      </c>
      <c r="C71" s="11">
        <f t="shared" ref="C71:J71" si="29">IF(ISBLANK(C9),C7,C9)</f>
        <v>0.11311090231278979</v>
      </c>
      <c r="D71" s="11">
        <f t="shared" si="29"/>
        <v>4.8110902312789791E-2</v>
      </c>
      <c r="E71" s="11">
        <f t="shared" si="29"/>
        <v>4.8110902312789791E-2</v>
      </c>
      <c r="F71" s="11">
        <f t="shared" si="29"/>
        <v>3.3110902312789778E-2</v>
      </c>
      <c r="G71" s="11">
        <f t="shared" si="29"/>
        <v>3.3110902312789778E-2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141</v>
      </c>
      <c r="C72" s="11">
        <f t="shared" ref="C72:J72" si="30">IF(ISBLANK(C9),C7,C9)</f>
        <v>0.11311090231278979</v>
      </c>
      <c r="D72" s="11">
        <f t="shared" si="30"/>
        <v>4.8110902312789791E-2</v>
      </c>
      <c r="E72" s="11">
        <f t="shared" si="30"/>
        <v>4.8110902312789791E-2</v>
      </c>
      <c r="F72" s="11">
        <f t="shared" si="30"/>
        <v>3.3110902312789778E-2</v>
      </c>
      <c r="G72" s="11">
        <f t="shared" si="30"/>
        <v>3.3110902312789778E-2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142</v>
      </c>
      <c r="C73" s="11">
        <f t="shared" ref="C73:J73" si="31">IF(ISBLANK(C9),C7,C9)</f>
        <v>0.11311090231278979</v>
      </c>
      <c r="D73" s="11">
        <f t="shared" si="31"/>
        <v>4.8110902312789791E-2</v>
      </c>
      <c r="E73" s="11">
        <f t="shared" si="31"/>
        <v>4.8110902312789791E-2</v>
      </c>
      <c r="F73" s="11">
        <f t="shared" si="31"/>
        <v>3.3110902312789778E-2</v>
      </c>
      <c r="G73" s="11">
        <f t="shared" si="31"/>
        <v>3.3110902312789778E-2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143</v>
      </c>
      <c r="C75" s="6">
        <f t="shared" ref="C75:J79" si="32">C63*C69</f>
        <v>3024.8583401894507</v>
      </c>
      <c r="D75" s="6">
        <f t="shared" si="32"/>
        <v>1004.2087908644794</v>
      </c>
      <c r="E75" s="6">
        <f t="shared" si="32"/>
        <v>1042.9405037541196</v>
      </c>
      <c r="F75" s="6">
        <f t="shared" si="32"/>
        <v>286.10130054754188</v>
      </c>
      <c r="G75" s="6">
        <f t="shared" si="32"/>
        <v>624.91048170356908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144</v>
      </c>
      <c r="C76" s="6">
        <f t="shared" si="32"/>
        <v>3077.0337350771797</v>
      </c>
      <c r="D76" s="6">
        <f t="shared" si="32"/>
        <v>1022.7687212174441</v>
      </c>
      <c r="E76" s="6">
        <f t="shared" si="32"/>
        <v>1072.8542722969457</v>
      </c>
      <c r="F76" s="6">
        <f t="shared" si="32"/>
        <v>295.73780543041187</v>
      </c>
      <c r="G76" s="6">
        <f t="shared" si="32"/>
        <v>630.96095427392015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145</v>
      </c>
      <c r="C77" s="6">
        <f t="shared" si="32"/>
        <v>3133.5690244721272</v>
      </c>
      <c r="D77" s="6">
        <f t="shared" si="32"/>
        <v>1041.3784979680752</v>
      </c>
      <c r="E77" s="6">
        <f t="shared" si="32"/>
        <v>1100.7436434522015</v>
      </c>
      <c r="F77" s="6">
        <f t="shared" si="32"/>
        <v>304.90434324864992</v>
      </c>
      <c r="G77" s="6">
        <f t="shared" si="32"/>
        <v>637.26771738780337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146</v>
      </c>
      <c r="C78" s="6">
        <f t="shared" si="32"/>
        <v>3194.66655227718</v>
      </c>
      <c r="D78" s="6">
        <f t="shared" si="32"/>
        <v>1060.0283732455621</v>
      </c>
      <c r="E78" s="6">
        <f t="shared" si="32"/>
        <v>1126.4006949758889</v>
      </c>
      <c r="F78" s="6">
        <f t="shared" si="32"/>
        <v>313.53582987090175</v>
      </c>
      <c r="G78" s="6">
        <f t="shared" si="32"/>
        <v>643.83720488311837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147</v>
      </c>
      <c r="C79" s="6">
        <f t="shared" si="32"/>
        <v>3260.5475424359379</v>
      </c>
      <c r="D79" s="6">
        <f t="shared" si="32"/>
        <v>1078.7083845343273</v>
      </c>
      <c r="E79" s="6">
        <f t="shared" si="32"/>
        <v>1149.6295333808325</v>
      </c>
      <c r="F79" s="6">
        <f t="shared" si="32"/>
        <v>321.56930148533189</v>
      </c>
      <c r="G79" s="6">
        <f t="shared" si="32"/>
        <v>650.67615986189583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148</v>
      </c>
      <c r="C81" s="6">
        <f>C75*(1-Inputs!B22)</f>
        <v>2135.5499881737519</v>
      </c>
      <c r="D81" s="6">
        <f>D75*(1-Inputs!B22)</f>
        <v>708.97140635032247</v>
      </c>
      <c r="E81" s="6">
        <f>E75*(1-Inputs!B22)</f>
        <v>736.31599565040835</v>
      </c>
      <c r="F81" s="6">
        <f>F75*(1-Inputs!B22)</f>
        <v>201.98751818656456</v>
      </c>
      <c r="G81" s="6">
        <f>G75*(1-Inputs!B22)</f>
        <v>441.18680008271974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149</v>
      </c>
      <c r="C82" s="6">
        <f>C76*(1-Inputs!B22)</f>
        <v>2172.3858169644886</v>
      </c>
      <c r="D82" s="6">
        <f>D76*(1-Inputs!B22)</f>
        <v>722.07471717951546</v>
      </c>
      <c r="E82" s="6">
        <f>E76*(1-Inputs!B22)</f>
        <v>757.43511624164364</v>
      </c>
      <c r="F82" s="6">
        <f>F76*(1-Inputs!B22)</f>
        <v>208.79089063387076</v>
      </c>
      <c r="G82" s="6">
        <f>G76*(1-Inputs!B22)</f>
        <v>445.45843371738761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150</v>
      </c>
      <c r="C83" s="6">
        <f>C77*(1-Inputs!B22)</f>
        <v>2212.2997312773218</v>
      </c>
      <c r="D83" s="6">
        <f>D77*(1-Inputs!B22)</f>
        <v>735.21321956546103</v>
      </c>
      <c r="E83" s="6">
        <f>E77*(1-Inputs!B22)</f>
        <v>777.1250122772542</v>
      </c>
      <c r="F83" s="6">
        <f>F77*(1-Inputs!B22)</f>
        <v>215.26246633354683</v>
      </c>
      <c r="G83" s="6">
        <f>G77*(1-Inputs!B22)</f>
        <v>449.91100847578917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151</v>
      </c>
      <c r="C84" s="6">
        <f>C78*(1-Inputs!B22)</f>
        <v>2255.4345859076889</v>
      </c>
      <c r="D84" s="6">
        <f>D78*(1-Inputs!B22)</f>
        <v>748.38003151136684</v>
      </c>
      <c r="E84" s="6">
        <f>E78*(1-Inputs!B22)</f>
        <v>795.23889065297749</v>
      </c>
      <c r="F84" s="6">
        <f>F78*(1-Inputs!B22)</f>
        <v>221.35629588885664</v>
      </c>
      <c r="G84" s="6">
        <f>G78*(1-Inputs!B22)</f>
        <v>454.54906664748154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152</v>
      </c>
      <c r="C85" s="6">
        <f>C79*(1-Inputs!B22)</f>
        <v>2301.9465649597719</v>
      </c>
      <c r="D85" s="6">
        <f>D79*(1-Inputs!B22)</f>
        <v>761.56811948123504</v>
      </c>
      <c r="E85" s="6">
        <f>E79*(1-Inputs!B22)</f>
        <v>811.63845056686773</v>
      </c>
      <c r="F85" s="6">
        <f>F79*(1-Inputs!B22)</f>
        <v>227.02792684864431</v>
      </c>
      <c r="G85" s="6">
        <f>G79*(1-Inputs!B22)</f>
        <v>459.37736886249843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153</v>
      </c>
      <c r="C87" s="6">
        <f t="shared" ref="C87:J87" si="33">C63*MAX(IF(ISBLANK(C26),C12,C26),0)</f>
        <v>695.30270943681558</v>
      </c>
      <c r="D87" s="6">
        <f t="shared" si="33"/>
        <v>104.36395313641007</v>
      </c>
      <c r="E87" s="6">
        <f t="shared" si="33"/>
        <v>498.59034923915539</v>
      </c>
      <c r="F87" s="6">
        <f t="shared" si="33"/>
        <v>129.61046689915904</v>
      </c>
      <c r="G87" s="6">
        <f t="shared" si="33"/>
        <v>528.45112230424365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154</v>
      </c>
      <c r="C88" s="6">
        <f t="shared" ref="C88:J88" si="34">C64*MAX(IF(ISBLANK(C26),C12,C26),0)</f>
        <v>707.29589700179156</v>
      </c>
      <c r="D88" s="6">
        <f t="shared" si="34"/>
        <v>106.29282262967988</v>
      </c>
      <c r="E88" s="6">
        <f t="shared" si="34"/>
        <v>512.89098887405362</v>
      </c>
      <c r="F88" s="6">
        <f t="shared" si="34"/>
        <v>133.97602516385226</v>
      </c>
      <c r="G88" s="6">
        <f t="shared" si="34"/>
        <v>533.56766157488721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155</v>
      </c>
      <c r="C89" s="6">
        <f t="shared" ref="C89:J89" si="35">C65*MAX(IF(ISBLANK(C26),C12,C26),0)</f>
        <v>720.29126256084089</v>
      </c>
      <c r="D89" s="6">
        <f t="shared" si="35"/>
        <v>108.22687248699089</v>
      </c>
      <c r="E89" s="6">
        <f t="shared" si="35"/>
        <v>526.22384080022425</v>
      </c>
      <c r="F89" s="6">
        <f t="shared" si="35"/>
        <v>138.12867754326084</v>
      </c>
      <c r="G89" s="6">
        <f t="shared" si="35"/>
        <v>538.90093112823661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156</v>
      </c>
      <c r="C90" s="6">
        <f t="shared" ref="C90:J90" si="36">C66*MAX(IF(ISBLANK(C26),C12,C26),0)</f>
        <v>734.33531747023017</v>
      </c>
      <c r="D90" s="6">
        <f t="shared" si="36"/>
        <v>110.16508964577913</v>
      </c>
      <c r="E90" s="6">
        <f t="shared" si="36"/>
        <v>538.48950526871079</v>
      </c>
      <c r="F90" s="6">
        <f t="shared" si="36"/>
        <v>142.03893942953283</v>
      </c>
      <c r="G90" s="6">
        <f t="shared" si="36"/>
        <v>544.45637169373788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157</v>
      </c>
      <c r="C91" s="6">
        <f t="shared" ref="C91:J91" si="37">C67*MAX(IF(ISBLANK(C26),C12,C26),0)</f>
        <v>749.47891290713096</v>
      </c>
      <c r="D91" s="6">
        <f t="shared" si="37"/>
        <v>112.10643873619094</v>
      </c>
      <c r="E91" s="6">
        <f t="shared" si="37"/>
        <v>549.59433302355558</v>
      </c>
      <c r="F91" s="6">
        <f t="shared" si="37"/>
        <v>145.67828676830666</v>
      </c>
      <c r="G91" s="6">
        <f t="shared" si="37"/>
        <v>550.23968552785823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158</v>
      </c>
      <c r="C93" s="6">
        <f t="shared" ref="C93:J97" si="38">C81-C87</f>
        <v>1440.2472787369363</v>
      </c>
      <c r="D93" s="6">
        <f t="shared" si="38"/>
        <v>604.60745321391244</v>
      </c>
      <c r="E93" s="6">
        <f t="shared" si="38"/>
        <v>237.72564641125297</v>
      </c>
      <c r="F93" s="6">
        <f t="shared" si="38"/>
        <v>72.377051287405521</v>
      </c>
      <c r="G93" s="6">
        <f t="shared" si="38"/>
        <v>-87.264322221523912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159</v>
      </c>
      <c r="C94" s="6">
        <f t="shared" si="38"/>
        <v>1465.089919962697</v>
      </c>
      <c r="D94" s="6">
        <f t="shared" si="38"/>
        <v>615.78189454983556</v>
      </c>
      <c r="E94" s="6">
        <f t="shared" si="38"/>
        <v>244.54412736759002</v>
      </c>
      <c r="F94" s="6">
        <f t="shared" si="38"/>
        <v>74.814865470018503</v>
      </c>
      <c r="G94" s="6">
        <f t="shared" si="38"/>
        <v>-88.109227857499604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160</v>
      </c>
      <c r="C95" s="6">
        <f t="shared" si="38"/>
        <v>1492.0084687164808</v>
      </c>
      <c r="D95" s="6">
        <f t="shared" si="38"/>
        <v>626.98634707847009</v>
      </c>
      <c r="E95" s="6">
        <f t="shared" si="38"/>
        <v>250.90117147702995</v>
      </c>
      <c r="F95" s="6">
        <f t="shared" si="38"/>
        <v>77.13378879028599</v>
      </c>
      <c r="G95" s="6">
        <f t="shared" si="38"/>
        <v>-88.989922652447433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161</v>
      </c>
      <c r="C96" s="6">
        <f t="shared" si="38"/>
        <v>1521.0992684374587</v>
      </c>
      <c r="D96" s="6">
        <f t="shared" si="38"/>
        <v>638.21494186558766</v>
      </c>
      <c r="E96" s="6">
        <f t="shared" si="38"/>
        <v>256.7493853842667</v>
      </c>
      <c r="F96" s="6">
        <f t="shared" si="38"/>
        <v>79.317356459323804</v>
      </c>
      <c r="G96" s="6">
        <f t="shared" si="38"/>
        <v>-89.90730504625634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162</v>
      </c>
      <c r="C97" s="6">
        <f t="shared" si="38"/>
        <v>1552.4676520526409</v>
      </c>
      <c r="D97" s="6">
        <f t="shared" si="38"/>
        <v>649.46168074504408</v>
      </c>
      <c r="E97" s="6">
        <f t="shared" si="38"/>
        <v>262.04411754331215</v>
      </c>
      <c r="F97" s="6">
        <f t="shared" si="38"/>
        <v>81.34964008033765</v>
      </c>
      <c r="G97" s="6">
        <f t="shared" si="38"/>
        <v>-90.862316665359799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163</v>
      </c>
      <c r="C99" s="6">
        <f t="shared" ref="C99:J99" si="39">C93/(((1+C16)*(1+C16+(C104-C16)*1/5)*(1+C16+(C104-C16)*2/5)*(1+C16+(C104-C16)*3/5)*(1+C16+(C104-C16)*4/5))*(1+C104)^1)</f>
        <v>924.26036026144061</v>
      </c>
      <c r="D99" s="6">
        <f t="shared" si="39"/>
        <v>387.99913790797814</v>
      </c>
      <c r="E99" s="6">
        <f t="shared" si="39"/>
        <v>152.55740791132635</v>
      </c>
      <c r="F99" s="6">
        <f t="shared" si="39"/>
        <v>46.447051478704253</v>
      </c>
      <c r="G99" s="6">
        <f t="shared" si="39"/>
        <v>-56.000768121685788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164</v>
      </c>
      <c r="C100" s="6">
        <f t="shared" ref="C100:J100" si="40">C94/(((1+C16)*(1+C16+(C104-C16)*1/5)*(1+C16+(C104-C16)*2/5)*(1+C16+(C104-C16)*3/5)*(1+C16+(C104-C16)*4/5))*(1+C104)^2)</f>
        <v>875.44478132181814</v>
      </c>
      <c r="D100" s="6">
        <f t="shared" si="40"/>
        <v>367.95219096848433</v>
      </c>
      <c r="E100" s="6">
        <f t="shared" si="40"/>
        <v>146.12405504250933</v>
      </c>
      <c r="F100" s="6">
        <f t="shared" si="40"/>
        <v>44.704616862485281</v>
      </c>
      <c r="G100" s="6">
        <f t="shared" si="40"/>
        <v>-52.648484344296726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165</v>
      </c>
      <c r="C101" s="6">
        <f t="shared" ref="C101:J101" si="41">C95/(((1+C16)*(1+C16+(C104-C16)*1/5)*(1+C16+(C104-C16)*2/5)*(1+C16+(C104-C16)*3/5)*(1+C16+(C104-C16)*4/5))*(1+C104)^3)</f>
        <v>830.12401853345716</v>
      </c>
      <c r="D101" s="6">
        <f t="shared" si="41"/>
        <v>348.84280948494813</v>
      </c>
      <c r="E101" s="6">
        <f t="shared" si="41"/>
        <v>139.5964520901405</v>
      </c>
      <c r="F101" s="6">
        <f t="shared" si="41"/>
        <v>42.915715331285135</v>
      </c>
      <c r="G101" s="6">
        <f t="shared" si="41"/>
        <v>-49.512233844611544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166</v>
      </c>
      <c r="C102" s="6">
        <f t="shared" ref="C102:J102" si="42">C96/(((1+C16)*(1+C16+(C104-C16)*1/5)*(1+C16+(C104-C16)*2/5)*(1+C16+(C104-C16)*3/5)*(1+C16+(C104-C16)*4/5))*(1+C104)^4)</f>
        <v>788.01858962502899</v>
      </c>
      <c r="D102" s="6">
        <f t="shared" si="42"/>
        <v>330.63275277435878</v>
      </c>
      <c r="E102" s="6">
        <f t="shared" si="42"/>
        <v>133.01123257092775</v>
      </c>
      <c r="F102" s="6">
        <f t="shared" si="42"/>
        <v>41.091040319852681</v>
      </c>
      <c r="G102" s="6">
        <f t="shared" si="42"/>
        <v>-46.577254482751187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167</v>
      </c>
      <c r="C103" s="6">
        <f t="shared" ref="C103:J103" si="43">C97/(((1+C16)*(1+C16+(C104-C16)*1/5)*(1+C16+(C104-C16)*2/5)*(1+C16+(C104-C16)*3/5)*(1+C16+(C104-C16)*4/5))*(1+C104)^5)</f>
        <v>748.87387266824078</v>
      </c>
      <c r="D103" s="6">
        <f t="shared" si="43"/>
        <v>313.28503583704571</v>
      </c>
      <c r="E103" s="6">
        <f t="shared" si="43"/>
        <v>126.40391756641759</v>
      </c>
      <c r="F103" s="6">
        <f t="shared" si="43"/>
        <v>39.241152578336816</v>
      </c>
      <c r="G103" s="6">
        <f t="shared" si="43"/>
        <v>-43.829843971839992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168</v>
      </c>
      <c r="C104" s="11">
        <f>MAX((Inputs!B18+((1+(1-Inputs!B22)*(Inputs!B36/(1-Inputs!B36)))/(1+(1-Inputs!B22)*0.25))*Inputs!B19+IF(ISBLANK(C17),Inputs!B24,C17)+Inputs!B25+Inputs!B39)*(1-Inputs!B36)+Inputs!B38*Inputs!B36,C15)</f>
        <v>7.3971573240380117E-2</v>
      </c>
      <c r="D104" s="11">
        <f>MAX((Inputs!B18+((1+(1-Inputs!B22)*(Inputs!B36/(1-Inputs!B36)))/(1+(1-Inputs!B22)*0.25))*Inputs!B19+IF(ISBLANK(D17),Inputs!B24,D17)+Inputs!B25+Inputs!B39)*(1-Inputs!B36)+Inputs!B38*Inputs!B36,D15)</f>
        <v>7.3971573240380117E-2</v>
      </c>
      <c r="E104" s="11">
        <f>MAX((Inputs!B18+((1+(1-Inputs!B22)*(Inputs!B36/(1-Inputs!B36)))/(1+(1-Inputs!B22)*0.25))*Inputs!B19+IF(ISBLANK(E17),Inputs!B24,E17)+Inputs!B25+Inputs!B39)*(1-Inputs!B36)+Inputs!B38*Inputs!B36,E15)</f>
        <v>7.3971573240380117E-2</v>
      </c>
      <c r="F104" s="11">
        <f>MAX((Inputs!B18+((1+(1-Inputs!B22)*(Inputs!B36/(1-Inputs!B36)))/(1+(1-Inputs!B22)*0.25))*Inputs!B19+IF(ISBLANK(F17),Inputs!B24,F17)+Inputs!B25+Inputs!B39)*(1-Inputs!B36)+Inputs!B38*Inputs!B36,F15)</f>
        <v>7.3971573240380117E-2</v>
      </c>
      <c r="G104" s="11">
        <f>MAX((Inputs!B18+((1+(1-Inputs!B22)*(Inputs!B36/(1-Inputs!B36)))/(1+(1-Inputs!B22)*0.25))*Inputs!B19+IF(ISBLANK(G17),Inputs!B24,G17)+Inputs!B25+Inputs!B39)*(1-Inputs!B36)+Inputs!B38*Inputs!B36,G15)</f>
        <v>7.3971573240380117E-2</v>
      </c>
      <c r="H104" s="11">
        <f>MAX((Inputs!B18+((1+(1-Inputs!B22)*(Inputs!B36/(1-Inputs!B36)))/(1+(1-Inputs!B22)*0.25))*Inputs!B19+IF(ISBLANK(H17),Inputs!B24,H17)+Inputs!B25+Inputs!B39)*(1-Inputs!B36)+Inputs!B38*Inputs!B36,H15)</f>
        <v>7.3971573240380117E-2</v>
      </c>
      <c r="I104" s="11">
        <f>MAX((Inputs!B18+((1+(1-Inputs!B22)*(Inputs!B36/(1-Inputs!B36)))/(1+(1-Inputs!B22)*0.25))*Inputs!B19+IF(ISBLANK(I17),Inputs!B24,I17)+Inputs!B25+Inputs!B39)*(1-Inputs!B36)+Inputs!B38*Inputs!B36,I15)</f>
        <v>7.3971573240380117E-2</v>
      </c>
      <c r="J104" s="11">
        <f>MAX((Inputs!B18+((1+(1-Inputs!B22)*(Inputs!B36/(1-Inputs!B36)))/(1+(1-Inputs!B22)*0.25))*Inputs!B19+IF(ISBLANK(J17),Inputs!B24,J17)+Inputs!B25+Inputs!B39)*(1-Inputs!B36)+Inputs!B38*Inputs!B36,J15)</f>
        <v>7.3971573240380117E-2</v>
      </c>
    </row>
    <row r="105" spans="1:11" x14ac:dyDescent="0.25">
      <c r="A105" s="4" t="s">
        <v>169</v>
      </c>
      <c r="C105" s="6">
        <f t="shared" ref="C105:J105" si="44">SUM(C57:C61,C99:C103)</f>
        <v>9749.1019869548727</v>
      </c>
      <c r="D105" s="6">
        <f t="shared" si="44"/>
        <v>3533.1642370332138</v>
      </c>
      <c r="E105" s="6">
        <f t="shared" si="44"/>
        <v>1328.5441739512989</v>
      </c>
      <c r="F105" s="6">
        <f t="shared" si="44"/>
        <v>258.54086205289832</v>
      </c>
      <c r="G105" s="6">
        <f t="shared" si="44"/>
        <v>-370.61976200608711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170</v>
      </c>
      <c r="C106" s="6">
        <f t="shared" ref="C106:J106" si="45">IF(C5=0,0,C97*(1+C13)/(C104-C13))</f>
        <v>29700.111615782782</v>
      </c>
      <c r="D106" s="6">
        <f t="shared" si="45"/>
        <v>11728.726417558972</v>
      </c>
      <c r="E106" s="6">
        <f t="shared" si="45"/>
        <v>5013.1411942822097</v>
      </c>
      <c r="F106" s="6">
        <f t="shared" si="45"/>
        <v>1725.6472200683218</v>
      </c>
      <c r="G106" s="6">
        <f t="shared" si="45"/>
        <v>-1449.5399018626902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171</v>
      </c>
      <c r="C107" s="6">
        <f t="shared" ref="C107:J107" si="46">C106/(((1+C16)*(1+C16+(C104-C16)*1/5)*(1+C16+(C104-C16)*2/5)*(1+C16+(C104-C16)*3/5)*(1+C16+(C104-C16)*4/5))*(1+C104)^5)</f>
        <v>14326.635131484265</v>
      </c>
      <c r="D107" s="6">
        <f t="shared" si="46"/>
        <v>5657.6616988898559</v>
      </c>
      <c r="E107" s="6">
        <f t="shared" si="46"/>
        <v>2418.2213751320796</v>
      </c>
      <c r="F107" s="6">
        <f t="shared" si="46"/>
        <v>832.41162213145378</v>
      </c>
      <c r="G107" s="6">
        <f t="shared" si="46"/>
        <v>-699.22394741030439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172</v>
      </c>
      <c r="C109" s="20">
        <f t="shared" ref="C109:J109" si="47">C105+C107</f>
        <v>24075.737118439138</v>
      </c>
      <c r="D109" s="20">
        <f t="shared" si="47"/>
        <v>9190.8259359230688</v>
      </c>
      <c r="E109" s="20">
        <f t="shared" si="47"/>
        <v>3746.7655490833786</v>
      </c>
      <c r="F109" s="20">
        <f t="shared" si="47"/>
        <v>1090.9524841843522</v>
      </c>
      <c r="G109" s="20">
        <f t="shared" si="47"/>
        <v>-1069.8437094163914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37034.437378213552</v>
      </c>
    </row>
    <row r="110" spans="1:11" x14ac:dyDescent="0.25">
      <c r="A110" s="4" t="s">
        <v>173</v>
      </c>
      <c r="K110" s="11">
        <f>IFERROR(SUMPRODUCT(C109:J109,C16:J16)/SUM(C109:J109),0)</f>
        <v>7.9493262825082303E-2</v>
      </c>
    </row>
    <row r="111" spans="1:11" x14ac:dyDescent="0.25">
      <c r="A111" s="4" t="s">
        <v>174</v>
      </c>
      <c r="K111" s="5">
        <v>6727</v>
      </c>
    </row>
    <row r="112" spans="1:11" x14ac:dyDescent="0.25">
      <c r="A112" s="4" t="s">
        <v>175</v>
      </c>
      <c r="K112" s="5">
        <v>2075</v>
      </c>
    </row>
    <row r="113" spans="1:11" x14ac:dyDescent="0.25">
      <c r="A113" s="4" t="s">
        <v>176</v>
      </c>
      <c r="K113" s="5">
        <v>-5089.7667674192826</v>
      </c>
    </row>
    <row r="114" spans="1:11" x14ac:dyDescent="0.25">
      <c r="A114" s="4" t="s">
        <v>177</v>
      </c>
      <c r="K114" s="5">
        <v>0</v>
      </c>
    </row>
    <row r="115" spans="1:11" x14ac:dyDescent="0.25">
      <c r="A115" s="4" t="s">
        <v>178</v>
      </c>
      <c r="K115" s="5">
        <v>0</v>
      </c>
    </row>
    <row r="116" spans="1:11" x14ac:dyDescent="0.25">
      <c r="A116" s="4" t="s">
        <v>179</v>
      </c>
      <c r="K116" s="5">
        <v>-42.5</v>
      </c>
    </row>
    <row r="117" spans="1:11" x14ac:dyDescent="0.25">
      <c r="A117" s="4" t="s">
        <v>180</v>
      </c>
      <c r="K117" s="5">
        <v>0</v>
      </c>
    </row>
    <row r="118" spans="1:11" x14ac:dyDescent="0.25">
      <c r="A118" s="4" t="s">
        <v>181</v>
      </c>
      <c r="K118" s="5">
        <v>0</v>
      </c>
    </row>
    <row r="119" spans="1:11" x14ac:dyDescent="0.25">
      <c r="A119" s="4" t="s">
        <v>182</v>
      </c>
      <c r="K119" s="20">
        <f>K109+K113+K114+K115+K116+K117+K118-K111-K112</f>
        <v>23100.17061079427</v>
      </c>
    </row>
    <row r="120" spans="1:11" x14ac:dyDescent="0.25">
      <c r="A120" s="4" t="s">
        <v>183</v>
      </c>
      <c r="K120" s="6">
        <f>Inputs!B11</f>
        <v>1150</v>
      </c>
    </row>
    <row r="122" spans="1:11" ht="15.75" customHeight="1" x14ac:dyDescent="0.25">
      <c r="A122" s="4" t="s">
        <v>184</v>
      </c>
      <c r="K122" s="21">
        <f>K119/K120</f>
        <v>20.087104878951539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187</v>
      </c>
    </row>
    <row r="2" spans="1:5" x14ac:dyDescent="0.25">
      <c r="A2" s="2" t="s">
        <v>188</v>
      </c>
    </row>
    <row r="3" spans="1:5" x14ac:dyDescent="0.25">
      <c r="A3" s="2" t="s">
        <v>189</v>
      </c>
    </row>
    <row r="4" spans="1:5" x14ac:dyDescent="0.25">
      <c r="A4" s="22" t="s">
        <v>190</v>
      </c>
      <c r="B4" s="22" t="s">
        <v>191</v>
      </c>
      <c r="C4" s="22" t="s">
        <v>192</v>
      </c>
      <c r="D4" s="22" t="s">
        <v>193</v>
      </c>
      <c r="E4" s="22" t="s">
        <v>194</v>
      </c>
    </row>
    <row r="5" spans="1:5" ht="30" customHeight="1" x14ac:dyDescent="0.25">
      <c r="A5" s="23" t="s">
        <v>195</v>
      </c>
      <c r="B5" s="5">
        <v>-85</v>
      </c>
      <c r="C5" s="7">
        <v>0.5</v>
      </c>
      <c r="D5" s="6">
        <f>IF(ISNUMBER(B5),B5*C5,"")</f>
        <v>-42.5</v>
      </c>
      <c r="E5" s="24" t="s">
        <v>196</v>
      </c>
    </row>
    <row r="6" spans="1:5" ht="30" customHeight="1" x14ac:dyDescent="0.25">
      <c r="A6" s="23"/>
      <c r="B6" s="5"/>
      <c r="C6" s="7"/>
      <c r="D6" s="6" t="str">
        <f>IF(ISNUMBER(B6),B6*C6,"")</f>
        <v/>
      </c>
      <c r="E6" s="24"/>
    </row>
    <row r="7" spans="1:5" ht="30" customHeight="1" x14ac:dyDescent="0.25">
      <c r="A7" s="23"/>
      <c r="B7" s="5"/>
      <c r="C7" s="7"/>
      <c r="D7" s="6" t="str">
        <f>IF(ISNUMBER(B7),B7*C7,"")</f>
        <v/>
      </c>
      <c r="E7" s="24"/>
    </row>
    <row r="8" spans="1:5" ht="30" customHeight="1" x14ac:dyDescent="0.25">
      <c r="A8" s="23"/>
      <c r="B8" s="5"/>
      <c r="C8" s="7"/>
      <c r="D8" s="6" t="str">
        <f>IF(ISNUMBER(B8),B8*C8,"")</f>
        <v/>
      </c>
      <c r="E8" s="24"/>
    </row>
    <row r="9" spans="1:5" ht="30" customHeight="1" x14ac:dyDescent="0.25">
      <c r="A9" s="23"/>
      <c r="B9" s="5"/>
      <c r="C9" s="7"/>
      <c r="D9" s="6" t="str">
        <f>IF(ISNUMBER(B9),B9*C9,"")</f>
        <v/>
      </c>
      <c r="E9" s="24"/>
    </row>
    <row r="11" spans="1:5" x14ac:dyDescent="0.25">
      <c r="C11" s="4" t="s">
        <v>197</v>
      </c>
      <c r="D11" s="20">
        <f>SUM(D5:D9)</f>
        <v>-42.5</v>
      </c>
    </row>
    <row r="12" spans="1:5" x14ac:dyDescent="0.25">
      <c r="C12" s="4" t="s">
        <v>198</v>
      </c>
      <c r="D12" s="20">
        <f>IF(Inputs!B11&gt;0,D11/Inputs!B11,"")</f>
        <v>-3.6956521739130437E-2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199</v>
      </c>
    </row>
    <row r="2" spans="1:12" x14ac:dyDescent="0.25">
      <c r="A2" s="2" t="s">
        <v>200</v>
      </c>
    </row>
    <row r="4" spans="1:12" x14ac:dyDescent="0.25">
      <c r="A4" s="3" t="s">
        <v>201</v>
      </c>
    </row>
    <row r="5" spans="1:12" ht="30" customHeight="1" x14ac:dyDescent="0.25">
      <c r="A5" s="25" t="s">
        <v>202</v>
      </c>
      <c r="B5" s="25" t="s">
        <v>203</v>
      </c>
      <c r="C5" s="25" t="s">
        <v>204</v>
      </c>
      <c r="D5" s="25" t="s">
        <v>205</v>
      </c>
      <c r="E5" s="25" t="s">
        <v>206</v>
      </c>
      <c r="F5" s="25" t="s">
        <v>207</v>
      </c>
      <c r="G5" s="25" t="s">
        <v>208</v>
      </c>
      <c r="H5" s="25" t="s">
        <v>209</v>
      </c>
      <c r="I5" s="25" t="s">
        <v>210</v>
      </c>
      <c r="J5" s="25" t="s">
        <v>211</v>
      </c>
      <c r="K5" s="25" t="s">
        <v>212</v>
      </c>
      <c r="L5" s="25" t="s">
        <v>213</v>
      </c>
    </row>
    <row r="6" spans="1:12" x14ac:dyDescent="0.25">
      <c r="A6" s="35" t="s">
        <v>55</v>
      </c>
      <c r="B6" s="36">
        <v>0.06</v>
      </c>
      <c r="C6" s="36">
        <v>0.04</v>
      </c>
      <c r="D6" s="36">
        <v>1.4999999999999999E-2</v>
      </c>
      <c r="E6" s="36">
        <v>0.15188909768721021</v>
      </c>
      <c r="F6" s="36">
        <v>0.13</v>
      </c>
      <c r="G6" s="36">
        <v>0.115</v>
      </c>
      <c r="H6" s="36">
        <v>2.9377819537442049E-2</v>
      </c>
      <c r="I6" s="36">
        <v>2.5000000000000001E-2</v>
      </c>
      <c r="J6" s="36">
        <v>2.0622180462557961E-2</v>
      </c>
      <c r="K6" s="37">
        <v>1.27</v>
      </c>
      <c r="L6" s="37">
        <v>2.5</v>
      </c>
    </row>
    <row r="7" spans="1:12" x14ac:dyDescent="0.25">
      <c r="A7" s="35" t="s">
        <v>56</v>
      </c>
      <c r="B7" s="36">
        <v>4.0944548843605107E-2</v>
      </c>
      <c r="C7" s="36">
        <v>0.03</v>
      </c>
      <c r="D7" s="36">
        <v>1.9055451156394891E-2</v>
      </c>
      <c r="E7" s="36">
        <v>6.7889097687210215E-2</v>
      </c>
      <c r="F7" s="36">
        <v>4.5999999999999999E-2</v>
      </c>
      <c r="G7" s="36">
        <v>3.1E-2</v>
      </c>
      <c r="H7" s="36">
        <v>2.6377819537442039E-2</v>
      </c>
      <c r="I7" s="36">
        <v>2.1999999999999999E-2</v>
      </c>
      <c r="J7" s="36">
        <v>1.7622180462557951E-2</v>
      </c>
      <c r="K7" s="37">
        <v>1.27</v>
      </c>
      <c r="L7" s="37">
        <v>2.5</v>
      </c>
    </row>
    <row r="8" spans="1:12" x14ac:dyDescent="0.25">
      <c r="A8" s="35" t="s">
        <v>57</v>
      </c>
      <c r="B8" s="36">
        <v>0.06</v>
      </c>
      <c r="C8" s="36">
        <v>4.4999999999999998E-2</v>
      </c>
      <c r="D8" s="36">
        <v>3.4055451156394891E-2</v>
      </c>
      <c r="E8" s="36">
        <v>8.3889097687210215E-2</v>
      </c>
      <c r="F8" s="36">
        <v>6.2E-2</v>
      </c>
      <c r="G8" s="36">
        <v>4.0110902312789777E-2</v>
      </c>
      <c r="H8" s="36">
        <v>2.9377819537442049E-2</v>
      </c>
      <c r="I8" s="36">
        <v>2.5000000000000001E-2</v>
      </c>
      <c r="J8" s="36">
        <v>2.0622180462557961E-2</v>
      </c>
      <c r="K8" s="37">
        <v>1.27</v>
      </c>
      <c r="L8" s="37">
        <v>2.5</v>
      </c>
    </row>
    <row r="9" spans="1:12" x14ac:dyDescent="0.25">
      <c r="A9" s="35" t="s">
        <v>58</v>
      </c>
      <c r="B9" s="36">
        <v>6.0944548843605111E-2</v>
      </c>
      <c r="C9" s="36">
        <v>0.05</v>
      </c>
      <c r="D9" s="36">
        <v>3.9055451156394902E-2</v>
      </c>
      <c r="E9" s="36">
        <v>5.7889097687210213E-2</v>
      </c>
      <c r="F9" s="36">
        <v>3.5999999999999997E-2</v>
      </c>
      <c r="G9" s="36">
        <v>1.411090231278978E-2</v>
      </c>
      <c r="H9" s="36">
        <v>3.4377819537442039E-2</v>
      </c>
      <c r="I9" s="36">
        <v>0.03</v>
      </c>
      <c r="J9" s="36">
        <v>2.5622180462557959E-2</v>
      </c>
      <c r="K9" s="37">
        <v>1.27</v>
      </c>
      <c r="L9" s="37">
        <v>2.5</v>
      </c>
    </row>
    <row r="10" spans="1:12" x14ac:dyDescent="0.25">
      <c r="A10" s="35" t="s">
        <v>59</v>
      </c>
      <c r="B10" s="36">
        <v>3.0944548843605112E-2</v>
      </c>
      <c r="C10" s="36">
        <v>0.02</v>
      </c>
      <c r="D10" s="36">
        <v>9.0554511563948926E-3</v>
      </c>
      <c r="E10" s="36">
        <v>7.2889097687210219E-2</v>
      </c>
      <c r="F10" s="36">
        <v>5.0999999999999997E-2</v>
      </c>
      <c r="G10" s="36">
        <v>4.0999999999999988E-2</v>
      </c>
      <c r="H10" s="36">
        <v>1.937781953744204E-2</v>
      </c>
      <c r="I10" s="36">
        <v>1.4999999999999999E-2</v>
      </c>
      <c r="J10" s="36">
        <v>1.0622180462557961E-2</v>
      </c>
      <c r="K10" s="37">
        <v>1.27</v>
      </c>
      <c r="L10" s="37">
        <v>2.5</v>
      </c>
    </row>
    <row r="11" spans="1:12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25">
      <c r="A15" s="3" t="s">
        <v>214</v>
      </c>
    </row>
    <row r="16" spans="1:12" x14ac:dyDescent="0.25">
      <c r="A16" s="22" t="s">
        <v>215</v>
      </c>
      <c r="B16" s="22" t="s">
        <v>216</v>
      </c>
      <c r="C16" s="22" t="s">
        <v>217</v>
      </c>
      <c r="D16" s="22" t="s">
        <v>218</v>
      </c>
      <c r="E16" s="22" t="s">
        <v>219</v>
      </c>
    </row>
    <row r="17" spans="1:5" x14ac:dyDescent="0.25">
      <c r="A17" s="4" t="s">
        <v>220</v>
      </c>
      <c r="B17" s="6">
        <f>'DCF Bull'!K122</f>
        <v>86.771139414353954</v>
      </c>
      <c r="C17" s="38">
        <v>0.25</v>
      </c>
      <c r="D17" s="27" t="s">
        <v>221</v>
      </c>
      <c r="E17" s="6">
        <f>MAX(B17,0)</f>
        <v>86.771139414353954</v>
      </c>
    </row>
    <row r="18" spans="1:5" x14ac:dyDescent="0.25">
      <c r="A18" s="4" t="s">
        <v>222</v>
      </c>
      <c r="B18" s="6">
        <f>'DCF Base'!K122</f>
        <v>50.539705177709379</v>
      </c>
      <c r="C18" s="38">
        <v>0.6</v>
      </c>
      <c r="D18" s="27" t="s">
        <v>223</v>
      </c>
      <c r="E18" s="6">
        <f>MAX(B18,0)</f>
        <v>50.539705177709379</v>
      </c>
    </row>
    <row r="19" spans="1:5" x14ac:dyDescent="0.25">
      <c r="A19" s="4" t="s">
        <v>224</v>
      </c>
      <c r="B19" s="6">
        <f>'DCF Bear'!K122</f>
        <v>20.087104878951539</v>
      </c>
      <c r="C19" s="38">
        <v>0.15</v>
      </c>
      <c r="D19" s="27" t="s">
        <v>225</v>
      </c>
      <c r="E19" s="6">
        <f>MAX(B19,0)</f>
        <v>20.087104878951539</v>
      </c>
    </row>
    <row r="20" spans="1:5" x14ac:dyDescent="0.25">
      <c r="A20" s="2" t="s">
        <v>226</v>
      </c>
    </row>
    <row r="21" spans="1:5" ht="15.75" customHeight="1" x14ac:dyDescent="0.25">
      <c r="A21" s="19" t="s">
        <v>227</v>
      </c>
      <c r="B21" s="21">
        <f>MAX(0,B17*C17+B18*C18+B19*C19)</f>
        <v>55.029673692056846</v>
      </c>
      <c r="D21" s="2" t="s">
        <v>228</v>
      </c>
      <c r="E21" s="6">
        <f>B17*C17+B18*C18+B19*C19</f>
        <v>55.029673692056846</v>
      </c>
    </row>
    <row r="22" spans="1:5" x14ac:dyDescent="0.25">
      <c r="A22" s="2" t="s">
        <v>229</v>
      </c>
      <c r="B22" s="39" t="s">
        <v>230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4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8" t="s">
        <v>231</v>
      </c>
    </row>
    <row r="2" spans="1:5" x14ac:dyDescent="0.25">
      <c r="A2" s="2" t="s">
        <v>232</v>
      </c>
    </row>
    <row r="4" spans="1:5" x14ac:dyDescent="0.25">
      <c r="A4" s="4" t="s">
        <v>233</v>
      </c>
      <c r="B4" s="40">
        <v>57.2</v>
      </c>
    </row>
    <row r="5" spans="1:5" x14ac:dyDescent="0.25">
      <c r="A5" s="4" t="s">
        <v>234</v>
      </c>
      <c r="B5" s="40">
        <v>55.03</v>
      </c>
    </row>
    <row r="6" spans="1:5" x14ac:dyDescent="0.25">
      <c r="A6" s="4" t="s">
        <v>235</v>
      </c>
      <c r="B6" s="29">
        <f>(B5-B4)/B4</f>
        <v>-3.7937062937062963E-2</v>
      </c>
    </row>
    <row r="7" spans="1:5" x14ac:dyDescent="0.25">
      <c r="A7" s="4" t="s">
        <v>236</v>
      </c>
      <c r="B7" s="41" t="s">
        <v>237</v>
      </c>
    </row>
    <row r="9" spans="1:5" x14ac:dyDescent="0.25">
      <c r="B9" s="31" t="s">
        <v>222</v>
      </c>
      <c r="C9" s="31" t="s">
        <v>238</v>
      </c>
      <c r="D9" s="31" t="s">
        <v>239</v>
      </c>
      <c r="E9" s="31" t="s">
        <v>240</v>
      </c>
    </row>
    <row r="10" spans="1:5" x14ac:dyDescent="0.25">
      <c r="A10" t="s">
        <v>241</v>
      </c>
      <c r="B10" s="42">
        <v>85609</v>
      </c>
      <c r="C10" s="6">
        <f>B10</f>
        <v>85609</v>
      </c>
      <c r="D10" s="6">
        <f>B10</f>
        <v>85609</v>
      </c>
      <c r="E10" s="6">
        <f t="shared" ref="E10:E15" si="0">B10</f>
        <v>85609</v>
      </c>
    </row>
    <row r="11" spans="1:5" x14ac:dyDescent="0.25">
      <c r="A11" t="s">
        <v>242</v>
      </c>
      <c r="B11" s="43">
        <v>3.5489025686551649E-2</v>
      </c>
      <c r="C11" s="44">
        <v>3.5489025686551649E-2</v>
      </c>
      <c r="D11" s="11">
        <f>B11</f>
        <v>3.5489025686551649E-2</v>
      </c>
      <c r="E11" s="11">
        <f t="shared" si="0"/>
        <v>3.5489025686551649E-2</v>
      </c>
    </row>
    <row r="12" spans="1:5" x14ac:dyDescent="0.25">
      <c r="A12" t="s">
        <v>243</v>
      </c>
      <c r="B12" s="43">
        <v>7.353329673282015E-2</v>
      </c>
      <c r="C12" s="11">
        <f t="shared" ref="C12:C20" si="1">B12</f>
        <v>7.353329673282015E-2</v>
      </c>
      <c r="D12" s="11">
        <f>B12</f>
        <v>7.353329673282015E-2</v>
      </c>
      <c r="E12" s="11">
        <f t="shared" si="0"/>
        <v>7.353329673282015E-2</v>
      </c>
    </row>
    <row r="13" spans="1:5" x14ac:dyDescent="0.25">
      <c r="A13" t="s">
        <v>244</v>
      </c>
      <c r="B13" s="43">
        <v>8.421088904203998E-2</v>
      </c>
      <c r="C13" s="11">
        <f t="shared" si="1"/>
        <v>8.421088904203998E-2</v>
      </c>
      <c r="D13" s="44">
        <v>8.421088904203998E-2</v>
      </c>
      <c r="E13" s="11">
        <f t="shared" si="0"/>
        <v>8.421088904203998E-2</v>
      </c>
    </row>
    <row r="14" spans="1:5" x14ac:dyDescent="0.25">
      <c r="A14" t="s">
        <v>245</v>
      </c>
      <c r="B14" s="43">
        <v>2.033689214918992E-2</v>
      </c>
      <c r="C14" s="11">
        <f t="shared" si="1"/>
        <v>2.033689214918992E-2</v>
      </c>
      <c r="D14" s="11">
        <f t="shared" ref="D14:D20" si="2">B14</f>
        <v>2.033689214918992E-2</v>
      </c>
      <c r="E14" s="11">
        <f t="shared" si="0"/>
        <v>2.033689214918992E-2</v>
      </c>
    </row>
    <row r="15" spans="1:5" x14ac:dyDescent="0.25">
      <c r="A15" t="s">
        <v>73</v>
      </c>
      <c r="B15" s="43">
        <v>2.266088845798923E-2</v>
      </c>
      <c r="C15" s="11">
        <f t="shared" si="1"/>
        <v>2.266088845798923E-2</v>
      </c>
      <c r="D15" s="11">
        <f t="shared" si="2"/>
        <v>2.266088845798923E-2</v>
      </c>
      <c r="E15" s="11">
        <f t="shared" si="0"/>
        <v>2.266088845798923E-2</v>
      </c>
    </row>
    <row r="16" spans="1:5" x14ac:dyDescent="0.25">
      <c r="A16" t="s">
        <v>246</v>
      </c>
      <c r="B16" s="43">
        <v>7.9493262825082303E-2</v>
      </c>
      <c r="C16" s="11">
        <f t="shared" si="1"/>
        <v>7.9493262825082303E-2</v>
      </c>
      <c r="D16" s="11">
        <f t="shared" si="2"/>
        <v>7.9493262825082303E-2</v>
      </c>
      <c r="E16" s="44">
        <v>7.9493262825082303E-2</v>
      </c>
    </row>
    <row r="17" spans="1:5" x14ac:dyDescent="0.25">
      <c r="A17" t="s">
        <v>247</v>
      </c>
      <c r="B17" s="43">
        <v>0.29399999999999998</v>
      </c>
      <c r="C17" s="11">
        <f t="shared" si="1"/>
        <v>0.29399999999999998</v>
      </c>
      <c r="D17" s="11">
        <f t="shared" si="2"/>
        <v>0.29399999999999998</v>
      </c>
      <c r="E17" s="11">
        <f>B17</f>
        <v>0.29399999999999998</v>
      </c>
    </row>
    <row r="18" spans="1:5" x14ac:dyDescent="0.25">
      <c r="A18" t="s">
        <v>248</v>
      </c>
      <c r="B18" s="42">
        <v>8625.4</v>
      </c>
      <c r="C18" s="6">
        <f t="shared" si="1"/>
        <v>8625.4</v>
      </c>
      <c r="D18" s="6">
        <f t="shared" si="2"/>
        <v>8625.4</v>
      </c>
      <c r="E18" s="6">
        <f>B18</f>
        <v>8625.4</v>
      </c>
    </row>
    <row r="19" spans="1:5" x14ac:dyDescent="0.25">
      <c r="A19" t="s">
        <v>249</v>
      </c>
      <c r="B19" s="42">
        <v>-8770.4</v>
      </c>
      <c r="C19" s="6">
        <f t="shared" si="1"/>
        <v>-8770.4</v>
      </c>
      <c r="D19" s="6">
        <f t="shared" si="2"/>
        <v>-8770.4</v>
      </c>
      <c r="E19" s="6">
        <f>B19</f>
        <v>-8770.4</v>
      </c>
    </row>
    <row r="20" spans="1:5" x14ac:dyDescent="0.25">
      <c r="A20" t="s">
        <v>250</v>
      </c>
      <c r="B20" s="40">
        <v>1150</v>
      </c>
      <c r="C20" s="6">
        <f t="shared" si="1"/>
        <v>1150</v>
      </c>
      <c r="D20" s="6">
        <f t="shared" si="2"/>
        <v>1150</v>
      </c>
      <c r="E20" s="6">
        <f>B20</f>
        <v>1150</v>
      </c>
    </row>
    <row r="22" spans="1:5" x14ac:dyDescent="0.25">
      <c r="A22" t="s">
        <v>251</v>
      </c>
      <c r="B22" s="6">
        <f>B10*(1+B11)^1</f>
        <v>88647.180000000008</v>
      </c>
      <c r="C22" s="6">
        <f>C10*(1+C11)^1</f>
        <v>88647.180000000008</v>
      </c>
      <c r="D22" s="6">
        <f>D10*(1+D11)^1</f>
        <v>88647.180000000008</v>
      </c>
      <c r="E22" s="6">
        <f>E10*(1+E11)^1</f>
        <v>88647.180000000008</v>
      </c>
    </row>
    <row r="23" spans="1:5" x14ac:dyDescent="0.25">
      <c r="A23" t="s">
        <v>252</v>
      </c>
      <c r="B23" s="6">
        <f>B10*(1+B11)^2</f>
        <v>91793.182048060364</v>
      </c>
      <c r="C23" s="6">
        <f>C10*(1+C11)^2</f>
        <v>91793.182048060364</v>
      </c>
      <c r="D23" s="6">
        <f>D10*(1+D11)^2</f>
        <v>91793.182048060364</v>
      </c>
      <c r="E23" s="6">
        <f>E10*(1+E11)^2</f>
        <v>91793.182048060364</v>
      </c>
    </row>
    <row r="24" spans="1:5" x14ac:dyDescent="0.25">
      <c r="A24" t="s">
        <v>253</v>
      </c>
      <c r="B24" s="6">
        <f>B10*(1+B11)^3</f>
        <v>95050.832643614296</v>
      </c>
      <c r="C24" s="6">
        <f>C10*(1+C11)^3</f>
        <v>95050.832643614296</v>
      </c>
      <c r="D24" s="6">
        <f>D10*(1+D11)^3</f>
        <v>95050.832643614296</v>
      </c>
      <c r="E24" s="6">
        <f>E10*(1+E11)^3</f>
        <v>95050.832643614296</v>
      </c>
    </row>
    <row r="25" spans="1:5" x14ac:dyDescent="0.25">
      <c r="A25" t="s">
        <v>254</v>
      </c>
      <c r="B25" s="6">
        <f>B10*(1+B11)^4</f>
        <v>98424.094084831639</v>
      </c>
      <c r="C25" s="6">
        <f>C10*(1+C11)^4</f>
        <v>98424.094084831639</v>
      </c>
      <c r="D25" s="6">
        <f>D10*(1+D11)^4</f>
        <v>98424.094084831639</v>
      </c>
      <c r="E25" s="6">
        <f>E10*(1+E11)^4</f>
        <v>98424.094084831639</v>
      </c>
    </row>
    <row r="26" spans="1:5" x14ac:dyDescent="0.25">
      <c r="A26" t="s">
        <v>255</v>
      </c>
      <c r="B26" s="6">
        <f>B10*(1+B11)^5</f>
        <v>101917.0692879838</v>
      </c>
      <c r="C26" s="6">
        <f>C10*(1+C11)^5</f>
        <v>101917.0692879838</v>
      </c>
      <c r="D26" s="6">
        <f>D10*(1+D11)^5</f>
        <v>101917.0692879838</v>
      </c>
      <c r="E26" s="6">
        <f>E10*(1+E11)^5</f>
        <v>101917.0692879838</v>
      </c>
    </row>
    <row r="27" spans="1:5" x14ac:dyDescent="0.25">
      <c r="A27" t="s">
        <v>256</v>
      </c>
      <c r="B27" s="6">
        <f>B26*(1+(B11+(B15-B11)*1/5))</f>
        <v>105272.5255476913</v>
      </c>
      <c r="C27" s="6">
        <f>C26*(1+(C11+(C15-C11)*1/5))</f>
        <v>105272.5255476913</v>
      </c>
      <c r="D27" s="6">
        <f>D26*(1+(D11+(D15-D11)*1/5))</f>
        <v>105272.5255476913</v>
      </c>
      <c r="E27" s="6">
        <f>E26*(1+(E11+(E15-E11)*1/5))</f>
        <v>105272.5255476913</v>
      </c>
    </row>
    <row r="28" spans="1:5" x14ac:dyDescent="0.25">
      <c r="A28" t="s">
        <v>257</v>
      </c>
      <c r="B28" s="6">
        <f>B27*(1+(B11+(B15-B11)*2/5))</f>
        <v>108468.36474929222</v>
      </c>
      <c r="C28" s="6">
        <f>C27*(1+(C11+(C15-C11)*2/5))</f>
        <v>108468.36474929222</v>
      </c>
      <c r="D28" s="6">
        <f>D27*(1+(D11+(D15-D11)*2/5))</f>
        <v>108468.36474929222</v>
      </c>
      <c r="E28" s="6">
        <f>E27*(1+(E11+(E15-E11)*2/5))</f>
        <v>108468.36474929222</v>
      </c>
    </row>
    <row r="29" spans="1:5" x14ac:dyDescent="0.25">
      <c r="A29" t="s">
        <v>258</v>
      </c>
      <c r="B29" s="6">
        <f>B28*(1+(B11+(B15-B11)*3/5))</f>
        <v>111482.93309128108</v>
      </c>
      <c r="C29" s="6">
        <f>C28*(1+(C11+(C15-C11)*3/5))</f>
        <v>111482.93309128108</v>
      </c>
      <c r="D29" s="6">
        <f>D28*(1+(D11+(D15-D11)*3/5))</f>
        <v>111482.93309128108</v>
      </c>
      <c r="E29" s="6">
        <f>E28*(1+(E11+(E15-E11)*3/5))</f>
        <v>111482.93309128108</v>
      </c>
    </row>
    <row r="30" spans="1:5" x14ac:dyDescent="0.25">
      <c r="A30" t="s">
        <v>259</v>
      </c>
      <c r="B30" s="6">
        <f>B29*(1+(B11+(B15-B11)*4/5))</f>
        <v>114295.25907589961</v>
      </c>
      <c r="C30" s="6">
        <f>C29*(1+(C11+(C15-C11)*4/5))</f>
        <v>114295.25907589961</v>
      </c>
      <c r="D30" s="6">
        <f>D29*(1+(D11+(D15-D11)*4/5))</f>
        <v>114295.25907589961</v>
      </c>
      <c r="E30" s="6">
        <f>E29*(1+(E11+(E15-E11)*4/5))</f>
        <v>114295.25907589961</v>
      </c>
    </row>
    <row r="31" spans="1:5" x14ac:dyDescent="0.25">
      <c r="A31" t="s">
        <v>260</v>
      </c>
      <c r="B31" s="6">
        <f>B30*(1+(B11+(B15-B11)*5/5))</f>
        <v>116885.29119309556</v>
      </c>
      <c r="C31" s="6">
        <f>C30*(1+(C11+(C15-C11)*5/5))</f>
        <v>116885.29119309556</v>
      </c>
      <c r="D31" s="6">
        <f>D30*(1+(D11+(D15-D11)*5/5))</f>
        <v>116885.29119309556</v>
      </c>
      <c r="E31" s="6">
        <f>E30*(1+(E11+(E15-E11)*5/5))</f>
        <v>116885.29119309556</v>
      </c>
    </row>
    <row r="33" spans="1:5" x14ac:dyDescent="0.25">
      <c r="A33" t="s">
        <v>261</v>
      </c>
      <c r="B33" s="6">
        <f>B22*(B12+(B13-B12)*0/4)*(1-B17)-B22*B14</f>
        <v>2799.266551386384</v>
      </c>
      <c r="C33" s="6">
        <f>C22*(C12+(C13-C12)*0/4)*(1-C17)-C22*C14</f>
        <v>2799.266551386384</v>
      </c>
      <c r="D33" s="6">
        <f>D22*(D12+(D13-D12)*0/4)*(1-D17)-D22*D14</f>
        <v>2799.266551386384</v>
      </c>
      <c r="E33" s="6">
        <f>E22*(E12+(E13-E12)*0/4)*(1-E17)-E22*E14</f>
        <v>2799.266551386384</v>
      </c>
    </row>
    <row r="34" spans="1:5" x14ac:dyDescent="0.25">
      <c r="A34" t="s">
        <v>262</v>
      </c>
      <c r="B34" s="6">
        <f>B23*(B12+(B13-B12)*1/4)*(1-B17)-B23*B14</f>
        <v>3071.6027697622103</v>
      </c>
      <c r="C34" s="6">
        <f>C23*(C12+(C13-C12)*1/4)*(1-C17)-C23*C14</f>
        <v>3071.6027697622103</v>
      </c>
      <c r="D34" s="6">
        <f>D23*(D12+(D13-D12)*1/4)*(1-D17)-D23*D14</f>
        <v>3071.6027697622103</v>
      </c>
      <c r="E34" s="6">
        <f>E23*(E12+(E13-E12)*1/4)*(1-E17)-E23*E14</f>
        <v>3071.6027697622103</v>
      </c>
    </row>
    <row r="35" spans="1:5" x14ac:dyDescent="0.25">
      <c r="A35" t="s">
        <v>263</v>
      </c>
      <c r="B35" s="6">
        <f>B24*(B12+(B13-B12)*2/4)*(1-B17)-B24*B14</f>
        <v>3359.7432873501843</v>
      </c>
      <c r="C35" s="6">
        <f>C24*(C12+(C13-C12)*2/4)*(1-C17)-C24*C14</f>
        <v>3359.7432873501843</v>
      </c>
      <c r="D35" s="6">
        <f>D24*(D12+(D13-D12)*2/4)*(1-D17)-D24*D14</f>
        <v>3359.7432873501843</v>
      </c>
      <c r="E35" s="6">
        <f>E24*(E12+(E13-E12)*2/4)*(1-E17)-E24*E14</f>
        <v>3359.7432873501843</v>
      </c>
    </row>
    <row r="36" spans="1:5" x14ac:dyDescent="0.25">
      <c r="A36" t="s">
        <v>264</v>
      </c>
      <c r="B36" s="6">
        <f>B25*(B12+(B13-B12)*3/4)*(1-B17)-B25*B14</f>
        <v>3664.4668629576108</v>
      </c>
      <c r="C36" s="6">
        <f>C25*(C12+(C13-C12)*3/4)*(1-C17)-C25*C14</f>
        <v>3664.4668629576108</v>
      </c>
      <c r="D36" s="6">
        <f>D25*(D12+(D13-D12)*3/4)*(1-D17)-D25*D14</f>
        <v>3664.4668629576108</v>
      </c>
      <c r="E36" s="6">
        <f>E25*(E12+(E13-E12)*3/4)*(1-E17)-E25*E14</f>
        <v>3664.4668629576108</v>
      </c>
    </row>
    <row r="37" spans="1:5" x14ac:dyDescent="0.25">
      <c r="A37" t="s">
        <v>265</v>
      </c>
      <c r="B37" s="6">
        <f>B26*(B12+(B13-B12)*4/4)*(1-B17)-B26*B14</f>
        <v>3986.5876251187719</v>
      </c>
      <c r="C37" s="6">
        <f>C26*(C12+(C13-C12)*4/4)*(1-C17)-C26*C14</f>
        <v>3986.5876251187719</v>
      </c>
      <c r="D37" s="6">
        <f>D26*(D12+(D13-D12)*4/4)*(1-D17)-D26*D14</f>
        <v>3986.5876251187719</v>
      </c>
      <c r="E37" s="6">
        <f>E26*(E12+(E13-E12)*4/4)*(1-E17)-E26*E14</f>
        <v>3986.5876251187719</v>
      </c>
    </row>
    <row r="38" spans="1:5" x14ac:dyDescent="0.25">
      <c r="A38" t="s">
        <v>266</v>
      </c>
      <c r="B38" s="6">
        <f>B27*B13*(1-B17)-B27*B14</f>
        <v>4117.839637122559</v>
      </c>
      <c r="C38" s="6">
        <f>C27*C13*(1-C17)-C27*C14</f>
        <v>4117.839637122559</v>
      </c>
      <c r="D38" s="6">
        <f>D27*D13*(1-D17)-D27*D14</f>
        <v>4117.839637122559</v>
      </c>
      <c r="E38" s="6">
        <f>E27*E13*(1-E17)-E27*E14</f>
        <v>4117.839637122559</v>
      </c>
    </row>
    <row r="39" spans="1:5" x14ac:dyDescent="0.25">
      <c r="A39" t="s">
        <v>267</v>
      </c>
      <c r="B39" s="6">
        <f>B28*B13*(1-B17)-B28*B14</f>
        <v>4242.8480689974122</v>
      </c>
      <c r="C39" s="6">
        <f>C28*C13*(1-C17)-C28*C14</f>
        <v>4242.8480689974122</v>
      </c>
      <c r="D39" s="6">
        <f>D28*D13*(1-D17)-D28*D14</f>
        <v>4242.8480689974122</v>
      </c>
      <c r="E39" s="6">
        <f>E28*E13*(1-E17)-E28*E14</f>
        <v>4242.8480689974122</v>
      </c>
    </row>
    <row r="40" spans="1:5" x14ac:dyDescent="0.25">
      <c r="A40" t="s">
        <v>268</v>
      </c>
      <c r="B40" s="6">
        <f>B29*B13*(1-B17)-B29*B14</f>
        <v>4360.7659107407744</v>
      </c>
      <c r="C40" s="6">
        <f>C29*C13*(1-C17)-C29*C14</f>
        <v>4360.7659107407744</v>
      </c>
      <c r="D40" s="6">
        <f>D29*D13*(1-D17)-D29*D14</f>
        <v>4360.7659107407744</v>
      </c>
      <c r="E40" s="6">
        <f>E29*E13*(1-E17)-E29*E14</f>
        <v>4360.7659107407744</v>
      </c>
    </row>
    <row r="41" spans="1:5" x14ac:dyDescent="0.25">
      <c r="A41" t="s">
        <v>269</v>
      </c>
      <c r="B41" s="6">
        <f>B30*B13*(1-B17)-B30*B14</f>
        <v>4470.7728413403966</v>
      </c>
      <c r="C41" s="6">
        <f>C30*C13*(1-C17)-C30*C14</f>
        <v>4470.7728413403966</v>
      </c>
      <c r="D41" s="6">
        <f>D30*D13*(1-D17)-D30*D14</f>
        <v>4470.7728413403966</v>
      </c>
      <c r="E41" s="6">
        <f>E30*E13*(1-E17)-E30*E14</f>
        <v>4470.7728413403966</v>
      </c>
    </row>
    <row r="42" spans="1:5" x14ac:dyDescent="0.25">
      <c r="A42" t="s">
        <v>270</v>
      </c>
      <c r="B42" s="6">
        <f>B31*B13*(1-B17)-B31*B14</f>
        <v>4572.0845260190181</v>
      </c>
      <c r="C42" s="6">
        <f>C31*C13*(1-C17)-C31*C14</f>
        <v>4572.0845260190181</v>
      </c>
      <c r="D42" s="6">
        <f>D31*D13*(1-D17)-D31*D14</f>
        <v>4572.0845260190181</v>
      </c>
      <c r="E42" s="6">
        <f>E31*E13*(1-E17)-E31*E14</f>
        <v>4572.0845260190181</v>
      </c>
    </row>
    <row r="44" spans="1:5" x14ac:dyDescent="0.25">
      <c r="A44" t="s">
        <v>127</v>
      </c>
      <c r="B44" s="6">
        <f>B33/(1+B16)^1</f>
        <v>2593.1301730041164</v>
      </c>
      <c r="C44" s="6">
        <f>C33/(1+C16)^1</f>
        <v>2593.1301730041164</v>
      </c>
      <c r="D44" s="6">
        <f>D33/(1+D16)^1</f>
        <v>2593.1301730041164</v>
      </c>
      <c r="E44" s="6">
        <f>E33/(1+E16)^1</f>
        <v>2593.1301730041164</v>
      </c>
    </row>
    <row r="45" spans="1:5" x14ac:dyDescent="0.25">
      <c r="A45" t="s">
        <v>128</v>
      </c>
      <c r="B45" s="6">
        <f>B34/(1+B16)^2</f>
        <v>2635.8772277016924</v>
      </c>
      <c r="C45" s="6">
        <f>C34/(1+C16)^2</f>
        <v>2635.8772277016924</v>
      </c>
      <c r="D45" s="6">
        <f>D34/(1+D16)^2</f>
        <v>2635.8772277016924</v>
      </c>
      <c r="E45" s="6">
        <f>E34/(1+E16)^2</f>
        <v>2635.8772277016924</v>
      </c>
    </row>
    <row r="46" spans="1:5" x14ac:dyDescent="0.25">
      <c r="A46" t="s">
        <v>129</v>
      </c>
      <c r="B46" s="6">
        <f>B35/(1+B16)^3</f>
        <v>2670.8302487532574</v>
      </c>
      <c r="C46" s="6">
        <f>C35/(1+C16)^3</f>
        <v>2670.8302487532574</v>
      </c>
      <c r="D46" s="6">
        <f>D35/(1+D16)^3</f>
        <v>2670.8302487532574</v>
      </c>
      <c r="E46" s="6">
        <f>E35/(1+E16)^3</f>
        <v>2670.8302487532574</v>
      </c>
    </row>
    <row r="47" spans="1:5" x14ac:dyDescent="0.25">
      <c r="A47" t="s">
        <v>130</v>
      </c>
      <c r="B47" s="6">
        <f>B36/(1+B16)^4</f>
        <v>2698.5536326587198</v>
      </c>
      <c r="C47" s="6">
        <f>C36/(1+C16)^4</f>
        <v>2698.5536326587198</v>
      </c>
      <c r="D47" s="6">
        <f>D36/(1+D16)^4</f>
        <v>2698.5536326587198</v>
      </c>
      <c r="E47" s="6">
        <f>E36/(1+E16)^4</f>
        <v>2698.5536326587198</v>
      </c>
    </row>
    <row r="48" spans="1:5" x14ac:dyDescent="0.25">
      <c r="A48" t="s">
        <v>131</v>
      </c>
      <c r="B48" s="6">
        <f>B37/(1+B16)^5</f>
        <v>2719.5787132780497</v>
      </c>
      <c r="C48" s="6">
        <f>C37/(1+C16)^5</f>
        <v>2719.5787132780497</v>
      </c>
      <c r="D48" s="6">
        <f>D37/(1+D16)^5</f>
        <v>2719.5787132780497</v>
      </c>
      <c r="E48" s="6">
        <f>E37/(1+E16)^5</f>
        <v>2719.5787132780497</v>
      </c>
    </row>
    <row r="49" spans="1:5" x14ac:dyDescent="0.25">
      <c r="A49" t="s">
        <v>163</v>
      </c>
      <c r="B49" s="6">
        <f>B38/(1+B16)^6</f>
        <v>2602.2547643799358</v>
      </c>
      <c r="C49" s="6">
        <f>C38/(1+C16)^6</f>
        <v>2602.2547643799358</v>
      </c>
      <c r="D49" s="6">
        <f>D38/(1+D16)^6</f>
        <v>2602.2547643799358</v>
      </c>
      <c r="E49" s="6">
        <f>E38/(1+E16)^6</f>
        <v>2602.2547643799358</v>
      </c>
    </row>
    <row r="50" spans="1:5" x14ac:dyDescent="0.25">
      <c r="A50" t="s">
        <v>164</v>
      </c>
      <c r="B50" s="6">
        <f>B39/(1+B16)^7</f>
        <v>2483.8074589280404</v>
      </c>
      <c r="C50" s="6">
        <f>C39/(1+C16)^7</f>
        <v>2483.8074589280404</v>
      </c>
      <c r="D50" s="6">
        <f>D39/(1+D16)^7</f>
        <v>2483.8074589280404</v>
      </c>
      <c r="E50" s="6">
        <f>E39/(1+E16)^7</f>
        <v>2483.8074589280404</v>
      </c>
    </row>
    <row r="51" spans="1:5" x14ac:dyDescent="0.25">
      <c r="A51" t="s">
        <v>165</v>
      </c>
      <c r="B51" s="6">
        <f>B40/(1+B16)^8</f>
        <v>2364.8482855724569</v>
      </c>
      <c r="C51" s="6">
        <f>C40/(1+C16)^8</f>
        <v>2364.8482855724569</v>
      </c>
      <c r="D51" s="6">
        <f>D40/(1+D16)^8</f>
        <v>2364.8482855724569</v>
      </c>
      <c r="E51" s="6">
        <f>E40/(1+E16)^8</f>
        <v>2364.8482855724569</v>
      </c>
    </row>
    <row r="52" spans="1:5" x14ac:dyDescent="0.25">
      <c r="A52" t="s">
        <v>166</v>
      </c>
      <c r="B52" s="6">
        <f>B41/(1+B16)^9</f>
        <v>2245.9660027087643</v>
      </c>
      <c r="C52" s="6">
        <f>C41/(1+C16)^9</f>
        <v>2245.9660027087643</v>
      </c>
      <c r="D52" s="6">
        <f>D41/(1+D16)^9</f>
        <v>2245.9660027087643</v>
      </c>
      <c r="E52" s="6">
        <f>E41/(1+E16)^9</f>
        <v>2245.9660027087643</v>
      </c>
    </row>
    <row r="53" spans="1:5" x14ac:dyDescent="0.25">
      <c r="A53" t="s">
        <v>167</v>
      </c>
      <c r="B53" s="6">
        <f>B42/(1+B16)^10</f>
        <v>2127.7220218731086</v>
      </c>
      <c r="C53" s="6">
        <f>C42/(1+C16)^10</f>
        <v>2127.7220218731086</v>
      </c>
      <c r="D53" s="6">
        <f>D42/(1+D16)^10</f>
        <v>2127.7220218731086</v>
      </c>
      <c r="E53" s="6">
        <f>E42/(1+E16)^10</f>
        <v>2127.7220218731086</v>
      </c>
    </row>
    <row r="54" spans="1:5" x14ac:dyDescent="0.25">
      <c r="A54" t="s">
        <v>169</v>
      </c>
      <c r="B54" s="6">
        <f>SUM(B44:B53)</f>
        <v>25142.568528858141</v>
      </c>
      <c r="C54" s="6">
        <f>SUM(C44:C53)</f>
        <v>25142.568528858141</v>
      </c>
      <c r="D54" s="6">
        <f>SUM(D44:D53)</f>
        <v>25142.568528858141</v>
      </c>
      <c r="E54" s="6">
        <f>SUM(E44:E53)</f>
        <v>25142.568528858141</v>
      </c>
    </row>
    <row r="55" spans="1:5" x14ac:dyDescent="0.25">
      <c r="A55" t="s">
        <v>170</v>
      </c>
      <c r="B55" s="6">
        <f>B42*(1+B15)/MAX(B16-B15,0.01)</f>
        <v>82271.629076805577</v>
      </c>
      <c r="C55" s="6">
        <f>C42*(1+C15)/MAX(C16-C15,0.01)</f>
        <v>82271.629076805577</v>
      </c>
      <c r="D55" s="6">
        <f>D42*(1+D15)/MAX(D16-D15,0.01)</f>
        <v>82271.629076805577</v>
      </c>
      <c r="E55" s="6">
        <f>E42*(1+E15)/MAX(E16-E15,0.01)</f>
        <v>82271.629076805577</v>
      </c>
    </row>
    <row r="56" spans="1:5" x14ac:dyDescent="0.25">
      <c r="A56" t="s">
        <v>171</v>
      </c>
      <c r="B56" s="6">
        <f>B55/(1+B16)^10</f>
        <v>38286.946788911366</v>
      </c>
      <c r="C56" s="6">
        <f>C55/(1+C16)^10</f>
        <v>38286.946788911366</v>
      </c>
      <c r="D56" s="6">
        <f>D55/(1+D16)^10</f>
        <v>38286.946788911366</v>
      </c>
      <c r="E56" s="6">
        <f>E55/(1+E16)^10</f>
        <v>38286.946788911366</v>
      </c>
    </row>
    <row r="57" spans="1:5" x14ac:dyDescent="0.25">
      <c r="A57" t="s">
        <v>271</v>
      </c>
      <c r="B57" s="6">
        <f>B54+B56</f>
        <v>63429.515317769503</v>
      </c>
      <c r="C57" s="6">
        <f>C54+C56</f>
        <v>63429.515317769503</v>
      </c>
      <c r="D57" s="6">
        <f>D54+D56</f>
        <v>63429.515317769503</v>
      </c>
      <c r="E57" s="6">
        <f>E54+E56</f>
        <v>63429.515317769503</v>
      </c>
    </row>
    <row r="58" spans="1:5" x14ac:dyDescent="0.25">
      <c r="A58" t="s">
        <v>272</v>
      </c>
      <c r="B58" s="6">
        <f>B57+B18+B19</f>
        <v>63284.515317769496</v>
      </c>
      <c r="C58" s="6">
        <f>C57+C18+C19</f>
        <v>63284.515317769496</v>
      </c>
      <c r="D58" s="6">
        <f>D57+D18+D19</f>
        <v>63284.515317769496</v>
      </c>
      <c r="E58" s="6">
        <f>E57+E18+E19</f>
        <v>63284.515317769496</v>
      </c>
    </row>
    <row r="59" spans="1:5" x14ac:dyDescent="0.25">
      <c r="A59" s="4" t="s">
        <v>273</v>
      </c>
      <c r="B59" s="32">
        <f>B58/B20</f>
        <v>55.030013319799565</v>
      </c>
      <c r="C59" s="32">
        <f>C58/C20</f>
        <v>55.030013319799565</v>
      </c>
      <c r="D59" s="32">
        <f>D58/D20</f>
        <v>55.030013319799565</v>
      </c>
      <c r="E59" s="32">
        <f>E58/E20</f>
        <v>55.030013319799565</v>
      </c>
    </row>
    <row r="60" spans="1:5" x14ac:dyDescent="0.25">
      <c r="A60" t="s">
        <v>274</v>
      </c>
      <c r="B60" s="6">
        <f>B59-B5</f>
        <v>1.3319799563760171E-5</v>
      </c>
      <c r="C60" s="6">
        <f>C59-B4</f>
        <v>-2.1699866802004379</v>
      </c>
      <c r="D60" s="6">
        <f>D59-B4</f>
        <v>-2.1699866802004379</v>
      </c>
      <c r="E60" s="6">
        <f>E59-B4</f>
        <v>-2.1699866802004379</v>
      </c>
    </row>
    <row r="62" spans="1:5" x14ac:dyDescent="0.25">
      <c r="A62" s="3" t="s">
        <v>275</v>
      </c>
    </row>
    <row r="63" spans="1:5" x14ac:dyDescent="0.25">
      <c r="A63" t="s">
        <v>276</v>
      </c>
      <c r="B63" s="45">
        <v>1.038</v>
      </c>
    </row>
    <row r="64" spans="1:5" x14ac:dyDescent="0.25">
      <c r="A64" t="s">
        <v>277</v>
      </c>
      <c r="B64" s="46">
        <v>11.016999999999999</v>
      </c>
    </row>
    <row r="65" spans="1:3" x14ac:dyDescent="0.25">
      <c r="A65" t="s">
        <v>278</v>
      </c>
      <c r="B65" s="47">
        <v>18.627832000000001</v>
      </c>
    </row>
    <row r="66" spans="1:3" x14ac:dyDescent="0.25">
      <c r="A66" t="s">
        <v>279</v>
      </c>
      <c r="B66" s="47">
        <v>15.339803</v>
      </c>
    </row>
    <row r="67" spans="1:3" x14ac:dyDescent="0.25">
      <c r="A67" t="s">
        <v>280</v>
      </c>
      <c r="B67" s="47">
        <v>2.7440886</v>
      </c>
    </row>
    <row r="69" spans="1:3" x14ac:dyDescent="0.25">
      <c r="A69" s="4" t="s">
        <v>281</v>
      </c>
      <c r="B69" s="2" t="s">
        <v>282</v>
      </c>
      <c r="C69" s="2" t="s">
        <v>283</v>
      </c>
    </row>
    <row r="70" spans="1:3" x14ac:dyDescent="0.25">
      <c r="B70" s="48">
        <v>2025</v>
      </c>
      <c r="C70" s="49">
        <v>0.87</v>
      </c>
    </row>
    <row r="71" spans="1:3" x14ac:dyDescent="0.25">
      <c r="B71" s="48">
        <v>2024</v>
      </c>
      <c r="C71" s="49">
        <v>0.69</v>
      </c>
    </row>
    <row r="72" spans="1:3" x14ac:dyDescent="0.25">
      <c r="B72" s="48">
        <v>2023</v>
      </c>
      <c r="C72" s="49">
        <v>0.88</v>
      </c>
    </row>
    <row r="77" spans="1:3" x14ac:dyDescent="0.25">
      <c r="A77" s="3" t="s">
        <v>284</v>
      </c>
    </row>
    <row r="79" spans="1:3" x14ac:dyDescent="0.25">
      <c r="A79" t="s">
        <v>285</v>
      </c>
      <c r="B79" s="50">
        <v>87568</v>
      </c>
    </row>
    <row r="80" spans="1:3" x14ac:dyDescent="0.25">
      <c r="A80" t="s">
        <v>286</v>
      </c>
      <c r="B80" s="50">
        <v>85076</v>
      </c>
    </row>
    <row r="81" spans="1:2" x14ac:dyDescent="0.25">
      <c r="A81" t="s">
        <v>287</v>
      </c>
      <c r="B81" s="50">
        <v>7948</v>
      </c>
    </row>
    <row r="82" spans="1:2" x14ac:dyDescent="0.25">
      <c r="A82" t="s">
        <v>288</v>
      </c>
      <c r="B82" s="50">
        <v>11039</v>
      </c>
    </row>
    <row r="83" spans="1:2" x14ac:dyDescent="0.25">
      <c r="A83" s="4" t="s">
        <v>289</v>
      </c>
      <c r="B83" s="33">
        <f>IF(B81&gt;0,B79/B81,"")</f>
        <v>11.017614494212381</v>
      </c>
    </row>
    <row r="84" spans="1:2" x14ac:dyDescent="0.25">
      <c r="A84" s="4" t="s">
        <v>290</v>
      </c>
      <c r="B84" s="33">
        <f>IF(B81&gt;0,B80/B81,"")</f>
        <v>10.704076497232007</v>
      </c>
    </row>
    <row r="85" spans="1:2" x14ac:dyDescent="0.25">
      <c r="A85" s="4" t="s">
        <v>291</v>
      </c>
      <c r="B85" s="33">
        <f>IF(B82&gt;0,B79/B82,"")</f>
        <v>7.9326025908143851</v>
      </c>
    </row>
    <row r="86" spans="1:2" x14ac:dyDescent="0.25">
      <c r="A86" s="4" t="s">
        <v>292</v>
      </c>
      <c r="B86" s="33">
        <f>IF(B82&gt;0,B80/B82,"")</f>
        <v>7.7068575052088049</v>
      </c>
    </row>
    <row r="88" spans="1:2" x14ac:dyDescent="0.25">
      <c r="A88" s="4" t="s">
        <v>293</v>
      </c>
    </row>
    <row r="89" spans="1:2" x14ac:dyDescent="0.25">
      <c r="A89" t="s">
        <v>294</v>
      </c>
      <c r="B89" s="46">
        <v>5.5</v>
      </c>
    </row>
    <row r="90" spans="1:2" x14ac:dyDescent="0.25">
      <c r="A90" t="s">
        <v>295</v>
      </c>
      <c r="B90" s="46">
        <v>6.72</v>
      </c>
    </row>
    <row r="91" spans="1:2" x14ac:dyDescent="0.25">
      <c r="A91" t="s">
        <v>296</v>
      </c>
      <c r="B91" s="46">
        <v>6.81</v>
      </c>
    </row>
    <row r="93" spans="1:2" x14ac:dyDescent="0.25">
      <c r="A93" s="4" t="s">
        <v>297</v>
      </c>
      <c r="B93" s="51" t="s">
        <v>298</v>
      </c>
    </row>
    <row r="94" spans="1:2" x14ac:dyDescent="0.25">
      <c r="A94" t="s">
        <v>299</v>
      </c>
      <c r="B94" s="41" t="s">
        <v>300</v>
      </c>
    </row>
    <row r="96" spans="1:2" x14ac:dyDescent="0.25">
      <c r="A96" s="3" t="s">
        <v>301</v>
      </c>
    </row>
    <row r="97" spans="1:5" x14ac:dyDescent="0.25">
      <c r="A97" s="4" t="s">
        <v>302</v>
      </c>
      <c r="B97" s="52">
        <v>1.022</v>
      </c>
    </row>
    <row r="98" spans="1:5" x14ac:dyDescent="0.25">
      <c r="A98" t="s">
        <v>303</v>
      </c>
      <c r="B98" s="46">
        <v>8.64</v>
      </c>
      <c r="C98" s="46">
        <v>13.21</v>
      </c>
      <c r="D98" s="46">
        <v>15.94</v>
      </c>
    </row>
    <row r="99" spans="1:5" x14ac:dyDescent="0.25">
      <c r="A99" s="4" t="s">
        <v>304</v>
      </c>
      <c r="B99" s="4" t="s">
        <v>305</v>
      </c>
      <c r="C99" s="4" t="s">
        <v>306</v>
      </c>
      <c r="D99" s="4" t="s">
        <v>307</v>
      </c>
      <c r="E99" s="4" t="s">
        <v>308</v>
      </c>
    </row>
    <row r="100" spans="1:5" x14ac:dyDescent="0.25">
      <c r="A100" s="48" t="s">
        <v>309</v>
      </c>
      <c r="B100" s="53">
        <v>0.84399999999999997</v>
      </c>
      <c r="C100" s="53">
        <v>1.216</v>
      </c>
      <c r="D100" s="53">
        <v>0.58699999999999997</v>
      </c>
      <c r="E100" s="54">
        <v>8.6449999999999996</v>
      </c>
    </row>
    <row r="101" spans="1:5" x14ac:dyDescent="0.25">
      <c r="A101" s="48" t="s">
        <v>310</v>
      </c>
      <c r="B101" s="53">
        <v>0.84899999999999998</v>
      </c>
      <c r="C101" s="53">
        <v>1.054</v>
      </c>
      <c r="D101" s="53">
        <v>0.32100000000000001</v>
      </c>
      <c r="E101" s="54">
        <v>10.241</v>
      </c>
    </row>
    <row r="102" spans="1:5" x14ac:dyDescent="0.25">
      <c r="A102" s="48" t="s">
        <v>311</v>
      </c>
      <c r="B102" s="53">
        <v>1.462</v>
      </c>
      <c r="C102" s="53">
        <v>1.494</v>
      </c>
      <c r="D102" s="53">
        <v>2.9000000000000001E-2</v>
      </c>
      <c r="E102" s="54">
        <v>15.555</v>
      </c>
    </row>
    <row r="103" spans="1:5" x14ac:dyDescent="0.25">
      <c r="A103" s="48" t="s">
        <v>312</v>
      </c>
      <c r="B103" s="53">
        <v>1.022</v>
      </c>
      <c r="C103" s="53">
        <v>1.2010000000000001</v>
      </c>
      <c r="D103" s="53">
        <v>0.23300000000000001</v>
      </c>
      <c r="E103" s="54">
        <v>13.209</v>
      </c>
    </row>
    <row r="104" spans="1:5" x14ac:dyDescent="0.25">
      <c r="A104" s="48" t="s">
        <v>313</v>
      </c>
      <c r="B104" s="53">
        <v>1.1000000000000001</v>
      </c>
      <c r="C104" s="53">
        <v>1.145</v>
      </c>
      <c r="D104" s="53">
        <v>5.5E-2</v>
      </c>
      <c r="E104" s="54">
        <v>15.939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4" t="s">
        <v>314</v>
      </c>
    </row>
    <row r="2" spans="1:2" x14ac:dyDescent="0.25">
      <c r="A2" s="2" t="s">
        <v>315</v>
      </c>
    </row>
    <row r="4" spans="1:2" x14ac:dyDescent="0.25">
      <c r="A4" s="4" t="s">
        <v>316</v>
      </c>
      <c r="B4" s="30" t="s">
        <v>317</v>
      </c>
    </row>
    <row r="5" spans="1:2" x14ac:dyDescent="0.25">
      <c r="A5" s="4" t="s">
        <v>318</v>
      </c>
      <c r="B5" s="30" t="s">
        <v>319</v>
      </c>
    </row>
    <row r="6" spans="1:2" x14ac:dyDescent="0.25">
      <c r="A6" s="4" t="s">
        <v>320</v>
      </c>
      <c r="B6" s="30" t="s">
        <v>321</v>
      </c>
    </row>
    <row r="7" spans="1:2" x14ac:dyDescent="0.25">
      <c r="A7" s="4" t="s">
        <v>322</v>
      </c>
      <c r="B7" s="30" t="s">
        <v>323</v>
      </c>
    </row>
    <row r="8" spans="1:2" x14ac:dyDescent="0.25">
      <c r="A8" s="4" t="s">
        <v>324</v>
      </c>
      <c r="B8" s="30" t="s">
        <v>325</v>
      </c>
    </row>
    <row r="9" spans="1:2" x14ac:dyDescent="0.25">
      <c r="A9" s="4" t="s">
        <v>326</v>
      </c>
      <c r="B9" s="30" t="s">
        <v>327</v>
      </c>
    </row>
    <row r="10" spans="1:2" x14ac:dyDescent="0.25">
      <c r="A10" s="4" t="s">
        <v>328</v>
      </c>
      <c r="B10" s="30" t="s">
        <v>223</v>
      </c>
    </row>
    <row r="11" spans="1:2" x14ac:dyDescent="0.25">
      <c r="A11" s="4" t="s">
        <v>329</v>
      </c>
      <c r="B11" s="30" t="s">
        <v>330</v>
      </c>
    </row>
    <row r="12" spans="1:2" x14ac:dyDescent="0.25">
      <c r="A12" s="4" t="s">
        <v>331</v>
      </c>
      <c r="B12" s="30" t="s">
        <v>332</v>
      </c>
    </row>
    <row r="13" spans="1:2" x14ac:dyDescent="0.25">
      <c r="A13" s="4" t="s">
        <v>333</v>
      </c>
      <c r="B13" s="30" t="s">
        <v>334</v>
      </c>
    </row>
    <row r="14" spans="1:2" x14ac:dyDescent="0.25">
      <c r="A14" s="4" t="s">
        <v>335</v>
      </c>
      <c r="B14" s="30" t="s">
        <v>221</v>
      </c>
    </row>
    <row r="15" spans="1:2" x14ac:dyDescent="0.25">
      <c r="A15" s="4" t="s">
        <v>336</v>
      </c>
      <c r="B15" s="30" t="s">
        <v>223</v>
      </c>
    </row>
    <row r="16" spans="1:2" x14ac:dyDescent="0.25">
      <c r="A16" s="4" t="s">
        <v>337</v>
      </c>
      <c r="B16" s="30" t="s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2026-07-31T13:56:03Z</dcterms:modified>
</cp:coreProperties>
</file>