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anni\Documents\Claude\Projects\FinSurf\output\DHL_Group\2026-08-19_run1\"/>
    </mc:Choice>
  </mc:AlternateContent>
  <xr:revisionPtr revIDLastSave="0" documentId="13_ncr:1_{1F11E93F-7E82-4EE7-BA85-F1AAF622EF0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puts" sheetId="1" r:id="rId1"/>
    <sheet name="DCF Base" sheetId="2" r:id="rId2"/>
    <sheet name="DCF Bull" sheetId="3" r:id="rId3"/>
    <sheet name="DCF Bear" sheetId="4" r:id="rId4"/>
    <sheet name="Adjustments" sheetId="5" r:id="rId5"/>
    <sheet name="Szenarien" sheetId="6" r:id="rId6"/>
    <sheet name="Markt-implizit" sheetId="7" r:id="rId7"/>
    <sheet name="Outputs" sheetId="8" r:id="rId8"/>
  </sheets>
  <definedNames>
    <definedName name="OUT_EQUITY">'DCF Base'!$K$119</definedName>
    <definedName name="OUT_GROUP_EV">'DCF Base'!$K$109</definedName>
    <definedName name="OUT_MINORITY">Inputs!$B$15</definedName>
    <definedName name="OUT_NET_DEBT">Inputs!$B$14</definedName>
    <definedName name="OUT_PRICE_TARGET">'DCF Base'!$K$122</definedName>
    <definedName name="OUT_SEG_EV_1">'DCF Base'!$C$109</definedName>
    <definedName name="OUT_SEG_EV_2">'DCF Base'!$D$109</definedName>
    <definedName name="OUT_SEG_EV_3">'DCF Base'!$E$109</definedName>
    <definedName name="OUT_SEG_EV_4">'DCF Base'!$F$109</definedName>
    <definedName name="OUT_SEG_EV_5">'DCF Base'!$G$109</definedName>
    <definedName name="OUT_SEG_EV_6">'DCF Base'!$H$109</definedName>
    <definedName name="OUT_SEG_EV_7">'DCF Base'!$I$109</definedName>
    <definedName name="OUT_SEG_EV_8">'DCF Base'!$J$109</definedName>
    <definedName name="OUT_SEG_WACC_1">'DCF Base'!$C$16</definedName>
    <definedName name="OUT_SEG_WACC_2">'DCF Base'!$D$16</definedName>
    <definedName name="OUT_SEG_WACC_3">'DCF Base'!$E$16</definedName>
    <definedName name="OUT_SEG_WACC_4">'DCF Base'!$F$16</definedName>
    <definedName name="OUT_SEG_WACC_5">'DCF Base'!$G$16</definedName>
    <definedName name="OUT_SEG_WACC_6">'DCF Base'!$H$16</definedName>
    <definedName name="OUT_SEG_WACC_7">'DCF Base'!$I$16</definedName>
    <definedName name="OUT_SEG_WACC_8">'DCF Base'!$J$16</definedName>
    <definedName name="OUT_SHARES">Inputs!$B$11</definedName>
    <definedName name="OUT_WACC">'DCF Base'!$K$110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6" i="7" l="1"/>
  <c r="B85" i="7"/>
  <c r="B84" i="7"/>
  <c r="B83" i="7"/>
  <c r="B26" i="7"/>
  <c r="B37" i="7" s="1"/>
  <c r="B48" i="7" s="1"/>
  <c r="B25" i="7"/>
  <c r="B36" i="7" s="1"/>
  <c r="B47" i="7" s="1"/>
  <c r="E24" i="7"/>
  <c r="E35" i="7" s="1"/>
  <c r="E46" i="7" s="1"/>
  <c r="D24" i="7"/>
  <c r="D35" i="7" s="1"/>
  <c r="B24" i="7"/>
  <c r="B35" i="7" s="1"/>
  <c r="B46" i="7" s="1"/>
  <c r="E23" i="7"/>
  <c r="D23" i="7"/>
  <c r="B23" i="7"/>
  <c r="B34" i="7" s="1"/>
  <c r="B45" i="7" s="1"/>
  <c r="E22" i="7"/>
  <c r="D22" i="7"/>
  <c r="B22" i="7"/>
  <c r="B33" i="7" s="1"/>
  <c r="B44" i="7" s="1"/>
  <c r="E20" i="7"/>
  <c r="D20" i="7"/>
  <c r="C20" i="7"/>
  <c r="E19" i="7"/>
  <c r="D19" i="7"/>
  <c r="C19" i="7"/>
  <c r="E18" i="7"/>
  <c r="D18" i="7"/>
  <c r="C18" i="7"/>
  <c r="E17" i="7"/>
  <c r="D17" i="7"/>
  <c r="C17" i="7"/>
  <c r="D16" i="7"/>
  <c r="C16" i="7"/>
  <c r="E15" i="7"/>
  <c r="D15" i="7"/>
  <c r="C15" i="7"/>
  <c r="E14" i="7"/>
  <c r="D14" i="7"/>
  <c r="C14" i="7"/>
  <c r="E13" i="7"/>
  <c r="C13" i="7"/>
  <c r="E12" i="7"/>
  <c r="D12" i="7"/>
  <c r="C12" i="7"/>
  <c r="E11" i="7"/>
  <c r="D11" i="7"/>
  <c r="E10" i="7"/>
  <c r="E26" i="7" s="1"/>
  <c r="D10" i="7"/>
  <c r="D26" i="7" s="1"/>
  <c r="C10" i="7"/>
  <c r="C22" i="7" s="1"/>
  <c r="B6" i="7"/>
  <c r="D9" i="5"/>
  <c r="D8" i="5"/>
  <c r="D7" i="5"/>
  <c r="D6" i="5"/>
  <c r="D5" i="5"/>
  <c r="K121" i="4"/>
  <c r="K120" i="4"/>
  <c r="J106" i="4"/>
  <c r="I106" i="4"/>
  <c r="H106" i="4"/>
  <c r="J73" i="4"/>
  <c r="I73" i="4"/>
  <c r="H73" i="4"/>
  <c r="G73" i="4"/>
  <c r="F73" i="4"/>
  <c r="E73" i="4"/>
  <c r="D73" i="4"/>
  <c r="C73" i="4"/>
  <c r="J72" i="4"/>
  <c r="I72" i="4"/>
  <c r="H72" i="4"/>
  <c r="G72" i="4"/>
  <c r="F72" i="4"/>
  <c r="E72" i="4"/>
  <c r="D72" i="4"/>
  <c r="C72" i="4"/>
  <c r="J71" i="4"/>
  <c r="I71" i="4"/>
  <c r="H71" i="4"/>
  <c r="G71" i="4"/>
  <c r="F71" i="4"/>
  <c r="E71" i="4"/>
  <c r="D71" i="4"/>
  <c r="C71" i="4"/>
  <c r="J70" i="4"/>
  <c r="I70" i="4"/>
  <c r="H70" i="4"/>
  <c r="G70" i="4"/>
  <c r="F70" i="4"/>
  <c r="E70" i="4"/>
  <c r="D70" i="4"/>
  <c r="C70" i="4"/>
  <c r="J69" i="4"/>
  <c r="I69" i="4"/>
  <c r="H69" i="4"/>
  <c r="G69" i="4"/>
  <c r="F69" i="4"/>
  <c r="E69" i="4"/>
  <c r="D69" i="4"/>
  <c r="C69" i="4"/>
  <c r="H63" i="4"/>
  <c r="G63" i="4"/>
  <c r="F63" i="4"/>
  <c r="F75" i="4" s="1"/>
  <c r="F81" i="4" s="1"/>
  <c r="J49" i="4"/>
  <c r="I49" i="4"/>
  <c r="H49" i="4"/>
  <c r="G49" i="4"/>
  <c r="F49" i="4"/>
  <c r="I48" i="4"/>
  <c r="H48" i="4"/>
  <c r="F48" i="4"/>
  <c r="E48" i="4"/>
  <c r="J46" i="4"/>
  <c r="I46" i="4"/>
  <c r="H45" i="4"/>
  <c r="C41" i="4"/>
  <c r="G37" i="4"/>
  <c r="G43" i="4" s="1"/>
  <c r="E37" i="4"/>
  <c r="E43" i="4" s="1"/>
  <c r="H36" i="4"/>
  <c r="H42" i="4" s="1"/>
  <c r="H54" i="4" s="1"/>
  <c r="I34" i="4"/>
  <c r="I40" i="4" s="1"/>
  <c r="I52" i="4" s="1"/>
  <c r="G34" i="4"/>
  <c r="G40" i="4" s="1"/>
  <c r="G52" i="4" s="1"/>
  <c r="J31" i="4"/>
  <c r="I31" i="4"/>
  <c r="H31" i="4"/>
  <c r="G31" i="4"/>
  <c r="F31" i="4"/>
  <c r="E31" i="4"/>
  <c r="D31" i="4"/>
  <c r="C31" i="4"/>
  <c r="C37" i="4" s="1"/>
  <c r="C43" i="4" s="1"/>
  <c r="J30" i="4"/>
  <c r="I30" i="4"/>
  <c r="I36" i="4" s="1"/>
  <c r="I42" i="4" s="1"/>
  <c r="I54" i="4" s="1"/>
  <c r="H30" i="4"/>
  <c r="G30" i="4"/>
  <c r="G36" i="4" s="1"/>
  <c r="G42" i="4" s="1"/>
  <c r="G54" i="4" s="1"/>
  <c r="F30" i="4"/>
  <c r="F36" i="4" s="1"/>
  <c r="F42" i="4" s="1"/>
  <c r="F54" i="4" s="1"/>
  <c r="E30" i="4"/>
  <c r="D30" i="4"/>
  <c r="C30" i="4"/>
  <c r="J29" i="4"/>
  <c r="I29" i="4"/>
  <c r="H29" i="4"/>
  <c r="G29" i="4"/>
  <c r="F29" i="4"/>
  <c r="E29" i="4"/>
  <c r="D29" i="4"/>
  <c r="C29" i="4"/>
  <c r="J28" i="4"/>
  <c r="I28" i="4"/>
  <c r="H28" i="4"/>
  <c r="G28" i="4"/>
  <c r="F28" i="4"/>
  <c r="E28" i="4"/>
  <c r="D28" i="4"/>
  <c r="C28" i="4"/>
  <c r="C34" i="4" s="1"/>
  <c r="C40" i="4" s="1"/>
  <c r="J27" i="4"/>
  <c r="I27" i="4"/>
  <c r="H27" i="4"/>
  <c r="H33" i="4" s="1"/>
  <c r="H39" i="4" s="1"/>
  <c r="H51" i="4" s="1"/>
  <c r="G27" i="4"/>
  <c r="F27" i="4"/>
  <c r="E27" i="4"/>
  <c r="D27" i="4"/>
  <c r="C27" i="4"/>
  <c r="J25" i="4"/>
  <c r="J63" i="4" s="1"/>
  <c r="J64" i="4" s="1"/>
  <c r="J76" i="4" s="1"/>
  <c r="J82" i="4" s="1"/>
  <c r="I25" i="4"/>
  <c r="I37" i="4" s="1"/>
  <c r="I43" i="4" s="1"/>
  <c r="I55" i="4" s="1"/>
  <c r="H25" i="4"/>
  <c r="G25" i="4"/>
  <c r="F25" i="4"/>
  <c r="E25" i="4"/>
  <c r="E63" i="4" s="1"/>
  <c r="E87" i="4" s="1"/>
  <c r="D25" i="4"/>
  <c r="C25" i="4"/>
  <c r="J24" i="4"/>
  <c r="J48" i="4" s="1"/>
  <c r="I24" i="4"/>
  <c r="H24" i="4"/>
  <c r="G24" i="4"/>
  <c r="G48" i="4" s="1"/>
  <c r="F24" i="4"/>
  <c r="E24" i="4"/>
  <c r="D24" i="4"/>
  <c r="D48" i="4" s="1"/>
  <c r="C24" i="4"/>
  <c r="J23" i="4"/>
  <c r="I23" i="4"/>
  <c r="I35" i="4" s="1"/>
  <c r="I41" i="4" s="1"/>
  <c r="H23" i="4"/>
  <c r="H47" i="4" s="1"/>
  <c r="G23" i="4"/>
  <c r="G35" i="4" s="1"/>
  <c r="G41" i="4" s="1"/>
  <c r="F23" i="4"/>
  <c r="F47" i="4" s="1"/>
  <c r="E23" i="4"/>
  <c r="E47" i="4" s="1"/>
  <c r="D23" i="4"/>
  <c r="D47" i="4" s="1"/>
  <c r="C23" i="4"/>
  <c r="C35" i="4" s="1"/>
  <c r="J22" i="4"/>
  <c r="I22" i="4"/>
  <c r="H22" i="4"/>
  <c r="H46" i="4" s="1"/>
  <c r="G22" i="4"/>
  <c r="G46" i="4" s="1"/>
  <c r="F22" i="4"/>
  <c r="E22" i="4"/>
  <c r="E46" i="4" s="1"/>
  <c r="D22" i="4"/>
  <c r="D46" i="4" s="1"/>
  <c r="C22" i="4"/>
  <c r="C46" i="4" s="1"/>
  <c r="J21" i="4"/>
  <c r="J33" i="4" s="1"/>
  <c r="J39" i="4" s="1"/>
  <c r="I21" i="4"/>
  <c r="I45" i="4" s="1"/>
  <c r="H21" i="4"/>
  <c r="G21" i="4"/>
  <c r="F21" i="4"/>
  <c r="F45" i="4" s="1"/>
  <c r="E21" i="4"/>
  <c r="D21" i="4"/>
  <c r="C21" i="4"/>
  <c r="C33" i="4" s="1"/>
  <c r="C39" i="4" s="1"/>
  <c r="H16" i="4"/>
  <c r="K121" i="3"/>
  <c r="K120" i="3"/>
  <c r="J106" i="3"/>
  <c r="I106" i="3"/>
  <c r="H106" i="3"/>
  <c r="J73" i="3"/>
  <c r="I73" i="3"/>
  <c r="H73" i="3"/>
  <c r="G73" i="3"/>
  <c r="F73" i="3"/>
  <c r="E73" i="3"/>
  <c r="D73" i="3"/>
  <c r="C73" i="3"/>
  <c r="J72" i="3"/>
  <c r="I72" i="3"/>
  <c r="H72" i="3"/>
  <c r="G72" i="3"/>
  <c r="F72" i="3"/>
  <c r="E72" i="3"/>
  <c r="D72" i="3"/>
  <c r="C72" i="3"/>
  <c r="J71" i="3"/>
  <c r="I71" i="3"/>
  <c r="H71" i="3"/>
  <c r="G71" i="3"/>
  <c r="F71" i="3"/>
  <c r="E71" i="3"/>
  <c r="D71" i="3"/>
  <c r="C71" i="3"/>
  <c r="J70" i="3"/>
  <c r="I70" i="3"/>
  <c r="H70" i="3"/>
  <c r="G70" i="3"/>
  <c r="F70" i="3"/>
  <c r="E70" i="3"/>
  <c r="D70" i="3"/>
  <c r="C70" i="3"/>
  <c r="J69" i="3"/>
  <c r="I69" i="3"/>
  <c r="H69" i="3"/>
  <c r="G69" i="3"/>
  <c r="F69" i="3"/>
  <c r="E69" i="3"/>
  <c r="D69" i="3"/>
  <c r="C69" i="3"/>
  <c r="G49" i="3"/>
  <c r="F49" i="3"/>
  <c r="E49" i="3"/>
  <c r="D49" i="3"/>
  <c r="F48" i="3"/>
  <c r="E47" i="3"/>
  <c r="I46" i="3"/>
  <c r="F46" i="3"/>
  <c r="H45" i="3"/>
  <c r="J34" i="3"/>
  <c r="J40" i="3" s="1"/>
  <c r="G34" i="3"/>
  <c r="G40" i="3" s="1"/>
  <c r="F34" i="3"/>
  <c r="F40" i="3" s="1"/>
  <c r="F52" i="3" s="1"/>
  <c r="E34" i="3"/>
  <c r="E40" i="3" s="1"/>
  <c r="E52" i="3" s="1"/>
  <c r="J31" i="3"/>
  <c r="I31" i="3"/>
  <c r="H31" i="3"/>
  <c r="G31" i="3"/>
  <c r="F31" i="3"/>
  <c r="E31" i="3"/>
  <c r="D31" i="3"/>
  <c r="C31" i="3"/>
  <c r="J30" i="3"/>
  <c r="I30" i="3"/>
  <c r="H30" i="3"/>
  <c r="G30" i="3"/>
  <c r="G36" i="3" s="1"/>
  <c r="G42" i="3" s="1"/>
  <c r="G54" i="3" s="1"/>
  <c r="F30" i="3"/>
  <c r="F36" i="3" s="1"/>
  <c r="F42" i="3" s="1"/>
  <c r="E30" i="3"/>
  <c r="D30" i="3"/>
  <c r="C30" i="3"/>
  <c r="J29" i="3"/>
  <c r="I29" i="3"/>
  <c r="H29" i="3"/>
  <c r="G29" i="3"/>
  <c r="F29" i="3"/>
  <c r="E29" i="3"/>
  <c r="D29" i="3"/>
  <c r="C29" i="3"/>
  <c r="J28" i="3"/>
  <c r="I28" i="3"/>
  <c r="H28" i="3"/>
  <c r="G28" i="3"/>
  <c r="F28" i="3"/>
  <c r="E28" i="3"/>
  <c r="D28" i="3"/>
  <c r="D34" i="3" s="1"/>
  <c r="D40" i="3" s="1"/>
  <c r="D52" i="3" s="1"/>
  <c r="C28" i="3"/>
  <c r="C34" i="3" s="1"/>
  <c r="C40" i="3" s="1"/>
  <c r="C52" i="3" s="1"/>
  <c r="J27" i="3"/>
  <c r="I27" i="3"/>
  <c r="I33" i="3" s="1"/>
  <c r="I39" i="3" s="1"/>
  <c r="I51" i="3" s="1"/>
  <c r="H27" i="3"/>
  <c r="H33" i="3" s="1"/>
  <c r="H39" i="3" s="1"/>
  <c r="H51" i="3" s="1"/>
  <c r="G27" i="3"/>
  <c r="F27" i="3"/>
  <c r="E27" i="3"/>
  <c r="D27" i="3"/>
  <c r="C27" i="3"/>
  <c r="J25" i="3"/>
  <c r="J63" i="3" s="1"/>
  <c r="I25" i="3"/>
  <c r="I63" i="3" s="1"/>
  <c r="H25" i="3"/>
  <c r="H63" i="3" s="1"/>
  <c r="G25" i="3"/>
  <c r="G63" i="3" s="1"/>
  <c r="F25" i="3"/>
  <c r="F63" i="3" s="1"/>
  <c r="F75" i="3" s="1"/>
  <c r="F81" i="3" s="1"/>
  <c r="E25" i="3"/>
  <c r="E63" i="3" s="1"/>
  <c r="D25" i="3"/>
  <c r="D63" i="3" s="1"/>
  <c r="D87" i="3" s="1"/>
  <c r="C25" i="3"/>
  <c r="J24" i="3"/>
  <c r="J48" i="3" s="1"/>
  <c r="I24" i="3"/>
  <c r="I48" i="3" s="1"/>
  <c r="H24" i="3"/>
  <c r="H48" i="3" s="1"/>
  <c r="G24" i="3"/>
  <c r="G48" i="3" s="1"/>
  <c r="F24" i="3"/>
  <c r="E24" i="3"/>
  <c r="D24" i="3"/>
  <c r="C24" i="3"/>
  <c r="J23" i="3"/>
  <c r="I23" i="3"/>
  <c r="H23" i="3"/>
  <c r="G23" i="3"/>
  <c r="F23" i="3"/>
  <c r="E23" i="3"/>
  <c r="E35" i="3" s="1"/>
  <c r="E41" i="3" s="1"/>
  <c r="E53" i="3" s="1"/>
  <c r="D23" i="3"/>
  <c r="D35" i="3" s="1"/>
  <c r="D41" i="3" s="1"/>
  <c r="C23" i="3"/>
  <c r="C47" i="3" s="1"/>
  <c r="J22" i="3"/>
  <c r="J46" i="3" s="1"/>
  <c r="I22" i="3"/>
  <c r="H22" i="3"/>
  <c r="H46" i="3" s="1"/>
  <c r="G22" i="3"/>
  <c r="G46" i="3" s="1"/>
  <c r="F22" i="3"/>
  <c r="E22" i="3"/>
  <c r="E46" i="3" s="1"/>
  <c r="D22" i="3"/>
  <c r="D46" i="3" s="1"/>
  <c r="C22" i="3"/>
  <c r="C46" i="3" s="1"/>
  <c r="J21" i="3"/>
  <c r="J45" i="3" s="1"/>
  <c r="I21" i="3"/>
  <c r="I45" i="3" s="1"/>
  <c r="H21" i="3"/>
  <c r="G21" i="3"/>
  <c r="F21" i="3"/>
  <c r="E21" i="3"/>
  <c r="D21" i="3"/>
  <c r="C21" i="3"/>
  <c r="J16" i="3"/>
  <c r="I16" i="3"/>
  <c r="K121" i="2"/>
  <c r="K120" i="2"/>
  <c r="J106" i="2"/>
  <c r="I106" i="2"/>
  <c r="H106" i="2"/>
  <c r="J73" i="2"/>
  <c r="I73" i="2"/>
  <c r="H73" i="2"/>
  <c r="G73" i="2"/>
  <c r="F73" i="2"/>
  <c r="E73" i="2"/>
  <c r="D73" i="2"/>
  <c r="C73" i="2"/>
  <c r="J72" i="2"/>
  <c r="I72" i="2"/>
  <c r="H72" i="2"/>
  <c r="G72" i="2"/>
  <c r="F72" i="2"/>
  <c r="E72" i="2"/>
  <c r="D72" i="2"/>
  <c r="C72" i="2"/>
  <c r="J71" i="2"/>
  <c r="I71" i="2"/>
  <c r="H71" i="2"/>
  <c r="G71" i="2"/>
  <c r="F71" i="2"/>
  <c r="E71" i="2"/>
  <c r="D71" i="2"/>
  <c r="C71" i="2"/>
  <c r="J70" i="2"/>
  <c r="I70" i="2"/>
  <c r="H70" i="2"/>
  <c r="G70" i="2"/>
  <c r="F70" i="2"/>
  <c r="E70" i="2"/>
  <c r="D70" i="2"/>
  <c r="C70" i="2"/>
  <c r="J69" i="2"/>
  <c r="I69" i="2"/>
  <c r="H69" i="2"/>
  <c r="G69" i="2"/>
  <c r="F69" i="2"/>
  <c r="E69" i="2"/>
  <c r="D69" i="2"/>
  <c r="C69" i="2"/>
  <c r="J63" i="2"/>
  <c r="J75" i="2" s="1"/>
  <c r="J81" i="2" s="1"/>
  <c r="I63" i="2"/>
  <c r="J47" i="2"/>
  <c r="I47" i="2"/>
  <c r="H47" i="2"/>
  <c r="G47" i="2"/>
  <c r="E47" i="2"/>
  <c r="D47" i="2"/>
  <c r="C47" i="2"/>
  <c r="J46" i="2"/>
  <c r="I46" i="2"/>
  <c r="H46" i="2"/>
  <c r="G46" i="2"/>
  <c r="D45" i="2"/>
  <c r="C45" i="2"/>
  <c r="D39" i="2"/>
  <c r="D51" i="2" s="1"/>
  <c r="J35" i="2"/>
  <c r="J41" i="2" s="1"/>
  <c r="H35" i="2"/>
  <c r="H41" i="2" s="1"/>
  <c r="D33" i="2"/>
  <c r="J31" i="2"/>
  <c r="I31" i="2"/>
  <c r="H31" i="2"/>
  <c r="G31" i="2"/>
  <c r="G37" i="2" s="1"/>
  <c r="G43" i="2" s="1"/>
  <c r="F31" i="2"/>
  <c r="E31" i="2"/>
  <c r="E37" i="2" s="1"/>
  <c r="E43" i="2" s="1"/>
  <c r="D31" i="2"/>
  <c r="C31" i="2"/>
  <c r="J30" i="2"/>
  <c r="I30" i="2"/>
  <c r="H30" i="2"/>
  <c r="G30" i="2"/>
  <c r="F30" i="2"/>
  <c r="E30" i="2"/>
  <c r="D30" i="2"/>
  <c r="C30" i="2"/>
  <c r="J29" i="2"/>
  <c r="I29" i="2"/>
  <c r="H29" i="2"/>
  <c r="G29" i="2"/>
  <c r="F29" i="2"/>
  <c r="E29" i="2"/>
  <c r="D29" i="2"/>
  <c r="C29" i="2"/>
  <c r="J28" i="2"/>
  <c r="I28" i="2"/>
  <c r="H28" i="2"/>
  <c r="H34" i="2" s="1"/>
  <c r="H40" i="2" s="1"/>
  <c r="G28" i="2"/>
  <c r="G34" i="2" s="1"/>
  <c r="G40" i="2" s="1"/>
  <c r="G52" i="2" s="1"/>
  <c r="F28" i="2"/>
  <c r="E28" i="2"/>
  <c r="D28" i="2"/>
  <c r="C28" i="2"/>
  <c r="J27" i="2"/>
  <c r="I27" i="2"/>
  <c r="H27" i="2"/>
  <c r="G27" i="2"/>
  <c r="F27" i="2"/>
  <c r="E27" i="2"/>
  <c r="D27" i="2"/>
  <c r="C27" i="2"/>
  <c r="J25" i="2"/>
  <c r="J37" i="2" s="1"/>
  <c r="J43" i="2" s="1"/>
  <c r="I25" i="2"/>
  <c r="I37" i="2" s="1"/>
  <c r="I43" i="2" s="1"/>
  <c r="H25" i="2"/>
  <c r="H49" i="2" s="1"/>
  <c r="G25" i="2"/>
  <c r="G63" i="2" s="1"/>
  <c r="F25" i="2"/>
  <c r="F63" i="2" s="1"/>
  <c r="E25" i="2"/>
  <c r="E63" i="2" s="1"/>
  <c r="D25" i="2"/>
  <c r="C25" i="2"/>
  <c r="J24" i="2"/>
  <c r="I24" i="2"/>
  <c r="H24" i="2"/>
  <c r="G24" i="2"/>
  <c r="F24" i="2"/>
  <c r="E24" i="2"/>
  <c r="D24" i="2"/>
  <c r="C24" i="2"/>
  <c r="J23" i="2"/>
  <c r="I23" i="2"/>
  <c r="H23" i="2"/>
  <c r="G23" i="2"/>
  <c r="F23" i="2"/>
  <c r="E23" i="2"/>
  <c r="E35" i="2" s="1"/>
  <c r="E41" i="2" s="1"/>
  <c r="D23" i="2"/>
  <c r="D35" i="2" s="1"/>
  <c r="D41" i="2" s="1"/>
  <c r="C23" i="2"/>
  <c r="C35" i="2" s="1"/>
  <c r="C41" i="2" s="1"/>
  <c r="C53" i="2" s="1"/>
  <c r="J22" i="2"/>
  <c r="J34" i="2" s="1"/>
  <c r="J40" i="2" s="1"/>
  <c r="J52" i="2" s="1"/>
  <c r="I22" i="2"/>
  <c r="I34" i="2" s="1"/>
  <c r="I40" i="2" s="1"/>
  <c r="I52" i="2" s="1"/>
  <c r="H22" i="2"/>
  <c r="G22" i="2"/>
  <c r="F22" i="2"/>
  <c r="E22" i="2"/>
  <c r="D22" i="2"/>
  <c r="C22" i="2"/>
  <c r="J21" i="2"/>
  <c r="I21" i="2"/>
  <c r="H21" i="2"/>
  <c r="G21" i="2"/>
  <c r="F21" i="2"/>
  <c r="E21" i="2"/>
  <c r="D21" i="2"/>
  <c r="C21" i="2"/>
  <c r="B37" i="1"/>
  <c r="B38" i="1" s="1"/>
  <c r="B30" i="1"/>
  <c r="B29" i="1"/>
  <c r="B28" i="1"/>
  <c r="H16" i="3" s="1"/>
  <c r="B23" i="1"/>
  <c r="B26" i="1" s="1"/>
  <c r="B31" i="1" s="1"/>
  <c r="B14" i="1"/>
  <c r="J104" i="2" l="1"/>
  <c r="C104" i="4"/>
  <c r="D104" i="4"/>
  <c r="H104" i="2"/>
  <c r="E87" i="3"/>
  <c r="E64" i="3"/>
  <c r="E75" i="3"/>
  <c r="E81" i="3" s="1"/>
  <c r="E93" i="3" s="1"/>
  <c r="D53" i="3"/>
  <c r="E64" i="2"/>
  <c r="E76" i="2" s="1"/>
  <c r="E82" i="2" s="1"/>
  <c r="E75" i="2"/>
  <c r="E81" i="2" s="1"/>
  <c r="E87" i="2"/>
  <c r="J55" i="2"/>
  <c r="G52" i="3"/>
  <c r="G55" i="4"/>
  <c r="G61" i="4" s="1"/>
  <c r="H52" i="2"/>
  <c r="C35" i="3"/>
  <c r="C41" i="3" s="1"/>
  <c r="C53" i="3" s="1"/>
  <c r="D35" i="4"/>
  <c r="D41" i="4" s="1"/>
  <c r="D53" i="4" s="1"/>
  <c r="J52" i="3"/>
  <c r="C51" i="4"/>
  <c r="D47" i="3"/>
  <c r="E35" i="4"/>
  <c r="E41" i="4" s="1"/>
  <c r="E53" i="4" s="1"/>
  <c r="C23" i="7"/>
  <c r="D11" i="5"/>
  <c r="D12" i="5" s="1"/>
  <c r="C24" i="7"/>
  <c r="C35" i="7" s="1"/>
  <c r="C46" i="7" s="1"/>
  <c r="D46" i="7"/>
  <c r="I37" i="3"/>
  <c r="I43" i="3" s="1"/>
  <c r="H49" i="3"/>
  <c r="G33" i="4"/>
  <c r="G39" i="4" s="1"/>
  <c r="E36" i="4"/>
  <c r="E42" i="4" s="1"/>
  <c r="E54" i="4" s="1"/>
  <c r="C52" i="4"/>
  <c r="C45" i="4"/>
  <c r="D33" i="3"/>
  <c r="D39" i="3" s="1"/>
  <c r="F54" i="3"/>
  <c r="J37" i="3"/>
  <c r="J43" i="3" s="1"/>
  <c r="J55" i="3" s="1"/>
  <c r="J61" i="3" s="1"/>
  <c r="I49" i="3"/>
  <c r="C25" i="7"/>
  <c r="C36" i="7" s="1"/>
  <c r="C47" i="7" s="1"/>
  <c r="J49" i="3"/>
  <c r="E55" i="2"/>
  <c r="E61" i="2" s="1"/>
  <c r="J45" i="4"/>
  <c r="J51" i="4" s="1"/>
  <c r="G49" i="2"/>
  <c r="G55" i="2" s="1"/>
  <c r="G75" i="4"/>
  <c r="G81" i="4" s="1"/>
  <c r="E49" i="2"/>
  <c r="B27" i="7"/>
  <c r="B38" i="7" s="1"/>
  <c r="B49" i="7" s="1"/>
  <c r="I63" i="4"/>
  <c r="E75" i="4"/>
  <c r="E81" i="4" s="1"/>
  <c r="E93" i="4" s="1"/>
  <c r="I49" i="2"/>
  <c r="J49" i="2"/>
  <c r="D75" i="3"/>
  <c r="D81" i="3" s="1"/>
  <c r="D93" i="3" s="1"/>
  <c r="D99" i="3" s="1"/>
  <c r="C47" i="4"/>
  <c r="C53" i="4" s="1"/>
  <c r="E64" i="4"/>
  <c r="H53" i="2"/>
  <c r="E37" i="3"/>
  <c r="E43" i="3" s="1"/>
  <c r="E55" i="3" s="1"/>
  <c r="D34" i="7"/>
  <c r="D45" i="7" s="1"/>
  <c r="J37" i="4"/>
  <c r="J43" i="4" s="1"/>
  <c r="J55" i="4" s="1"/>
  <c r="C26" i="7"/>
  <c r="C27" i="7" s="1"/>
  <c r="C28" i="7" s="1"/>
  <c r="J53" i="2"/>
  <c r="I34" i="3"/>
  <c r="I40" i="3" s="1"/>
  <c r="I52" i="3" s="1"/>
  <c r="G37" i="3"/>
  <c r="G43" i="3" s="1"/>
  <c r="G55" i="3" s="1"/>
  <c r="G61" i="3" s="1"/>
  <c r="I47" i="4"/>
  <c r="I53" i="4" s="1"/>
  <c r="H63" i="2"/>
  <c r="H75" i="2" s="1"/>
  <c r="H81" i="2" s="1"/>
  <c r="H37" i="3"/>
  <c r="H43" i="3" s="1"/>
  <c r="H55" i="3" s="1"/>
  <c r="H61" i="3" s="1"/>
  <c r="E34" i="4"/>
  <c r="E40" i="4" s="1"/>
  <c r="E52" i="4" s="1"/>
  <c r="E58" i="4" s="1"/>
  <c r="E48" i="2"/>
  <c r="E36" i="2"/>
  <c r="E42" i="2" s="1"/>
  <c r="I57" i="3"/>
  <c r="F33" i="3"/>
  <c r="F39" i="3" s="1"/>
  <c r="F45" i="3"/>
  <c r="D36" i="3"/>
  <c r="D42" i="3" s="1"/>
  <c r="D54" i="3" s="1"/>
  <c r="G33" i="3"/>
  <c r="G39" i="3" s="1"/>
  <c r="G45" i="3"/>
  <c r="C45" i="3"/>
  <c r="C33" i="3"/>
  <c r="C39" i="3" s="1"/>
  <c r="G87" i="2"/>
  <c r="G75" i="2"/>
  <c r="G81" i="2" s="1"/>
  <c r="J35" i="3"/>
  <c r="J41" i="3" s="1"/>
  <c r="J47" i="3"/>
  <c r="C36" i="3"/>
  <c r="C42" i="3" s="1"/>
  <c r="C54" i="3" s="1"/>
  <c r="H47" i="3"/>
  <c r="H35" i="3"/>
  <c r="H41" i="3" s="1"/>
  <c r="H53" i="3" s="1"/>
  <c r="H59" i="3" s="1"/>
  <c r="C46" i="2"/>
  <c r="C34" i="2"/>
  <c r="C40" i="2" s="1"/>
  <c r="D37" i="7"/>
  <c r="D48" i="7" s="1"/>
  <c r="D27" i="7"/>
  <c r="C48" i="3"/>
  <c r="F87" i="2"/>
  <c r="F75" i="2"/>
  <c r="F81" i="2" s="1"/>
  <c r="F93" i="2" s="1"/>
  <c r="F64" i="3"/>
  <c r="F87" i="3"/>
  <c r="F93" i="3" s="1"/>
  <c r="I16" i="4"/>
  <c r="F35" i="4"/>
  <c r="F41" i="4" s="1"/>
  <c r="F53" i="4" s="1"/>
  <c r="F45" i="2"/>
  <c r="F33" i="2"/>
  <c r="F39" i="2" s="1"/>
  <c r="G45" i="2"/>
  <c r="G33" i="2"/>
  <c r="G39" i="2" s="1"/>
  <c r="G51" i="2" s="1"/>
  <c r="G57" i="2" s="1"/>
  <c r="I47" i="3"/>
  <c r="I35" i="3"/>
  <c r="I41" i="3" s="1"/>
  <c r="I53" i="3" s="1"/>
  <c r="I59" i="3" s="1"/>
  <c r="E99" i="3"/>
  <c r="I48" i="2"/>
  <c r="I36" i="2"/>
  <c r="I42" i="2" s="1"/>
  <c r="E36" i="3"/>
  <c r="E42" i="3" s="1"/>
  <c r="E34" i="2"/>
  <c r="E40" i="2" s="1"/>
  <c r="C37" i="2"/>
  <c r="C43" i="2" s="1"/>
  <c r="D48" i="3"/>
  <c r="E48" i="3"/>
  <c r="I75" i="2"/>
  <c r="I81" i="2" s="1"/>
  <c r="I87" i="2"/>
  <c r="I64" i="2"/>
  <c r="J16" i="4"/>
  <c r="H35" i="4"/>
  <c r="H41" i="4" s="1"/>
  <c r="H53" i="4" s="1"/>
  <c r="H59" i="4" s="1"/>
  <c r="G47" i="4"/>
  <c r="G53" i="4" s="1"/>
  <c r="C59" i="2"/>
  <c r="F64" i="2"/>
  <c r="H87" i="3"/>
  <c r="H75" i="3"/>
  <c r="H81" i="3" s="1"/>
  <c r="H93" i="3" s="1"/>
  <c r="H99" i="3" s="1"/>
  <c r="H64" i="3"/>
  <c r="D48" i="2"/>
  <c r="D36" i="2"/>
  <c r="D42" i="2" s="1"/>
  <c r="G35" i="3"/>
  <c r="G41" i="3" s="1"/>
  <c r="G53" i="3" s="1"/>
  <c r="G47" i="3"/>
  <c r="E33" i="3"/>
  <c r="E39" i="3" s="1"/>
  <c r="J47" i="4"/>
  <c r="J35" i="4"/>
  <c r="J41" i="4" s="1"/>
  <c r="J53" i="4" s="1"/>
  <c r="J75" i="3"/>
  <c r="J81" i="3" s="1"/>
  <c r="J87" i="3"/>
  <c r="J64" i="3"/>
  <c r="E45" i="4"/>
  <c r="E33" i="4"/>
  <c r="E39" i="4" s="1"/>
  <c r="E51" i="4" s="1"/>
  <c r="C48" i="4"/>
  <c r="C36" i="4"/>
  <c r="C42" i="4" s="1"/>
  <c r="C54" i="4" s="1"/>
  <c r="F48" i="2"/>
  <c r="F36" i="2"/>
  <c r="F42" i="2" s="1"/>
  <c r="J33" i="2"/>
  <c r="J39" i="2" s="1"/>
  <c r="J45" i="2"/>
  <c r="H48" i="2"/>
  <c r="H36" i="2"/>
  <c r="H42" i="2" s="1"/>
  <c r="H54" i="2" s="1"/>
  <c r="H107" i="3"/>
  <c r="H16" i="2"/>
  <c r="H59" i="2" s="1"/>
  <c r="D53" i="2"/>
  <c r="G64" i="2"/>
  <c r="D45" i="3"/>
  <c r="D51" i="3" s="1"/>
  <c r="D57" i="3" s="1"/>
  <c r="D36" i="4"/>
  <c r="D42" i="4" s="1"/>
  <c r="D54" i="4" s="1"/>
  <c r="I45" i="2"/>
  <c r="I33" i="2"/>
  <c r="I39" i="2" s="1"/>
  <c r="J48" i="2"/>
  <c r="J36" i="2"/>
  <c r="J42" i="2" s="1"/>
  <c r="G64" i="3"/>
  <c r="G75" i="3"/>
  <c r="G81" i="3" s="1"/>
  <c r="G87" i="3"/>
  <c r="I87" i="3"/>
  <c r="I75" i="3"/>
  <c r="I81" i="3" s="1"/>
  <c r="I64" i="3"/>
  <c r="H57" i="4"/>
  <c r="E45" i="3"/>
  <c r="D64" i="3"/>
  <c r="G51" i="4"/>
  <c r="H45" i="2"/>
  <c r="H33" i="2"/>
  <c r="H39" i="2" s="1"/>
  <c r="H51" i="2" s="1"/>
  <c r="G48" i="2"/>
  <c r="G36" i="2"/>
  <c r="G42" i="2" s="1"/>
  <c r="G54" i="2" s="1"/>
  <c r="H57" i="3"/>
  <c r="D34" i="2"/>
  <c r="D40" i="2" s="1"/>
  <c r="D46" i="2"/>
  <c r="J87" i="2"/>
  <c r="J93" i="2" s="1"/>
  <c r="J64" i="2"/>
  <c r="D45" i="4"/>
  <c r="D33" i="4"/>
  <c r="D39" i="4" s="1"/>
  <c r="E53" i="2"/>
  <c r="E45" i="2"/>
  <c r="E33" i="2"/>
  <c r="E39" i="2" s="1"/>
  <c r="C48" i="2"/>
  <c r="C36" i="2"/>
  <c r="C42" i="2" s="1"/>
  <c r="C54" i="2" s="1"/>
  <c r="C60" i="2" s="1"/>
  <c r="I55" i="2"/>
  <c r="F47" i="3"/>
  <c r="F35" i="3"/>
  <c r="F41" i="3" s="1"/>
  <c r="F53" i="3" s="1"/>
  <c r="H64" i="4"/>
  <c r="H87" i="4"/>
  <c r="H75" i="4"/>
  <c r="H81" i="4" s="1"/>
  <c r="H93" i="4" s="1"/>
  <c r="H99" i="4" s="1"/>
  <c r="I104" i="2"/>
  <c r="J36" i="4"/>
  <c r="J42" i="4" s="1"/>
  <c r="J54" i="4" s="1"/>
  <c r="G93" i="4"/>
  <c r="J87" i="4"/>
  <c r="J75" i="4"/>
  <c r="J81" i="4" s="1"/>
  <c r="H107" i="4"/>
  <c r="F33" i="4"/>
  <c r="F39" i="4" s="1"/>
  <c r="F51" i="4" s="1"/>
  <c r="F57" i="4" s="1"/>
  <c r="F64" i="4"/>
  <c r="F87" i="4"/>
  <c r="F93" i="4" s="1"/>
  <c r="F99" i="4" s="1"/>
  <c r="I61" i="4"/>
  <c r="I107" i="4"/>
  <c r="E34" i="7"/>
  <c r="E45" i="7" s="1"/>
  <c r="C38" i="7"/>
  <c r="C49" i="7" s="1"/>
  <c r="F34" i="2"/>
  <c r="F40" i="2" s="1"/>
  <c r="F52" i="2" s="1"/>
  <c r="E76" i="4"/>
  <c r="E82" i="4" s="1"/>
  <c r="E65" i="4"/>
  <c r="C37" i="7"/>
  <c r="C48" i="7" s="1"/>
  <c r="I104" i="3"/>
  <c r="G104" i="2"/>
  <c r="J104" i="4"/>
  <c r="H104" i="3"/>
  <c r="F104" i="2"/>
  <c r="I104" i="4"/>
  <c r="G104" i="3"/>
  <c r="E104" i="2"/>
  <c r="D104" i="2"/>
  <c r="H104" i="4"/>
  <c r="H60" i="4" s="1"/>
  <c r="F104" i="3"/>
  <c r="G104" i="4"/>
  <c r="E104" i="3"/>
  <c r="E59" i="3" s="1"/>
  <c r="C104" i="2"/>
  <c r="F104" i="4"/>
  <c r="E104" i="4"/>
  <c r="E16" i="2"/>
  <c r="H36" i="3"/>
  <c r="H42" i="3" s="1"/>
  <c r="H54" i="3" s="1"/>
  <c r="H60" i="3" s="1"/>
  <c r="C63" i="4"/>
  <c r="C49" i="4"/>
  <c r="C55" i="4" s="1"/>
  <c r="C61" i="4" s="1"/>
  <c r="G64" i="4"/>
  <c r="C33" i="7"/>
  <c r="C44" i="7" s="1"/>
  <c r="F34" i="4"/>
  <c r="F40" i="4" s="1"/>
  <c r="F46" i="4"/>
  <c r="D37" i="4"/>
  <c r="D43" i="4" s="1"/>
  <c r="D55" i="4" s="1"/>
  <c r="D63" i="4"/>
  <c r="D49" i="4"/>
  <c r="G45" i="4"/>
  <c r="C63" i="3"/>
  <c r="C49" i="3"/>
  <c r="I36" i="3"/>
  <c r="I42" i="3" s="1"/>
  <c r="I54" i="3" s="1"/>
  <c r="J65" i="4"/>
  <c r="J88" i="4"/>
  <c r="J94" i="4" s="1"/>
  <c r="J100" i="4" s="1"/>
  <c r="G16" i="2"/>
  <c r="C49" i="2"/>
  <c r="H34" i="3"/>
  <c r="H40" i="3" s="1"/>
  <c r="H52" i="3" s="1"/>
  <c r="H58" i="3" s="1"/>
  <c r="F37" i="3"/>
  <c r="F43" i="3" s="1"/>
  <c r="F55" i="3" s="1"/>
  <c r="J36" i="3"/>
  <c r="J42" i="3" s="1"/>
  <c r="J54" i="3" s="1"/>
  <c r="D37" i="2"/>
  <c r="D43" i="2" s="1"/>
  <c r="F37" i="4"/>
  <c r="F43" i="4" s="1"/>
  <c r="F55" i="4" s="1"/>
  <c r="F61" i="4" s="1"/>
  <c r="E37" i="7"/>
  <c r="E48" i="7" s="1"/>
  <c r="E27" i="7"/>
  <c r="F16" i="2"/>
  <c r="D49" i="2"/>
  <c r="C63" i="2"/>
  <c r="D37" i="3"/>
  <c r="D43" i="3" s="1"/>
  <c r="D55" i="3" s="1"/>
  <c r="D61" i="3" s="1"/>
  <c r="G87" i="4"/>
  <c r="G16" i="4"/>
  <c r="E16" i="3"/>
  <c r="C16" i="2"/>
  <c r="F16" i="4"/>
  <c r="D16" i="3"/>
  <c r="D58" i="3" s="1"/>
  <c r="E16" i="4"/>
  <c r="C16" i="3"/>
  <c r="D16" i="4"/>
  <c r="D59" i="4" s="1"/>
  <c r="C16" i="4"/>
  <c r="I16" i="2"/>
  <c r="G35" i="2"/>
  <c r="G41" i="2" s="1"/>
  <c r="G53" i="2" s="1"/>
  <c r="J16" i="2"/>
  <c r="F37" i="2"/>
  <c r="F43" i="2" s="1"/>
  <c r="F49" i="2"/>
  <c r="D63" i="2"/>
  <c r="C104" i="3"/>
  <c r="C59" i="3" s="1"/>
  <c r="J34" i="4"/>
  <c r="J40" i="4" s="1"/>
  <c r="J52" i="4" s="1"/>
  <c r="H37" i="4"/>
  <c r="H43" i="4" s="1"/>
  <c r="H55" i="4" s="1"/>
  <c r="H61" i="4" s="1"/>
  <c r="I33" i="4"/>
  <c r="I39" i="4" s="1"/>
  <c r="I51" i="4" s="1"/>
  <c r="I57" i="4" s="1"/>
  <c r="D16" i="2"/>
  <c r="D57" i="2" s="1"/>
  <c r="C33" i="2"/>
  <c r="C39" i="2" s="1"/>
  <c r="C51" i="2" s="1"/>
  <c r="F16" i="3"/>
  <c r="D104" i="3"/>
  <c r="F47" i="2"/>
  <c r="F35" i="2"/>
  <c r="F41" i="2" s="1"/>
  <c r="F53" i="2" s="1"/>
  <c r="C37" i="3"/>
  <c r="C43" i="3" s="1"/>
  <c r="C55" i="3" s="1"/>
  <c r="H34" i="4"/>
  <c r="H40" i="4" s="1"/>
  <c r="H52" i="4" s="1"/>
  <c r="H58" i="4" s="1"/>
  <c r="I35" i="2"/>
  <c r="I41" i="2" s="1"/>
  <c r="I53" i="2" s="1"/>
  <c r="E46" i="2"/>
  <c r="H37" i="2"/>
  <c r="H43" i="2" s="1"/>
  <c r="H55" i="2" s="1"/>
  <c r="F46" i="2"/>
  <c r="G16" i="3"/>
  <c r="J33" i="3"/>
  <c r="J39" i="3" s="1"/>
  <c r="J51" i="3" s="1"/>
  <c r="J57" i="3" s="1"/>
  <c r="J104" i="3"/>
  <c r="J107" i="3" s="1"/>
  <c r="D34" i="4"/>
  <c r="D40" i="4" s="1"/>
  <c r="D52" i="4" s="1"/>
  <c r="E88" i="4"/>
  <c r="D33" i="7"/>
  <c r="D44" i="7" s="1"/>
  <c r="E33" i="7"/>
  <c r="E44" i="7" s="1"/>
  <c r="I75" i="4"/>
  <c r="I81" i="4" s="1"/>
  <c r="C34" i="7"/>
  <c r="C45" i="7" s="1"/>
  <c r="B28" i="7"/>
  <c r="E49" i="4"/>
  <c r="E55" i="4" s="1"/>
  <c r="D25" i="7"/>
  <c r="D36" i="7" s="1"/>
  <c r="D47" i="7" s="1"/>
  <c r="E25" i="7"/>
  <c r="E36" i="7" s="1"/>
  <c r="E47" i="7" s="1"/>
  <c r="G61" i="2" l="1"/>
  <c r="I58" i="3"/>
  <c r="D54" i="2"/>
  <c r="E93" i="2"/>
  <c r="D58" i="4"/>
  <c r="E99" i="2"/>
  <c r="G58" i="3"/>
  <c r="I93" i="3"/>
  <c r="F54" i="2"/>
  <c r="F51" i="2"/>
  <c r="F57" i="2" s="1"/>
  <c r="C57" i="4"/>
  <c r="E51" i="2"/>
  <c r="E57" i="2" s="1"/>
  <c r="D59" i="3"/>
  <c r="G59" i="4"/>
  <c r="F59" i="4"/>
  <c r="C51" i="3"/>
  <c r="C57" i="3" s="1"/>
  <c r="J51" i="2"/>
  <c r="J57" i="2" s="1"/>
  <c r="F99" i="3"/>
  <c r="E59" i="4"/>
  <c r="J54" i="2"/>
  <c r="J60" i="2" s="1"/>
  <c r="E65" i="3"/>
  <c r="E76" i="3"/>
  <c r="E82" i="3" s="1"/>
  <c r="C60" i="4"/>
  <c r="I55" i="3"/>
  <c r="G60" i="3"/>
  <c r="H87" i="2"/>
  <c r="H93" i="2" s="1"/>
  <c r="H99" i="2" s="1"/>
  <c r="G58" i="2"/>
  <c r="H64" i="2"/>
  <c r="H88" i="2" s="1"/>
  <c r="I64" i="4"/>
  <c r="I87" i="4"/>
  <c r="I93" i="4" s="1"/>
  <c r="I99" i="4" s="1"/>
  <c r="E61" i="4"/>
  <c r="E88" i="2"/>
  <c r="E94" i="2" s="1"/>
  <c r="E100" i="2" s="1"/>
  <c r="G60" i="4"/>
  <c r="I51" i="2"/>
  <c r="I57" i="2" s="1"/>
  <c r="E54" i="2"/>
  <c r="E60" i="2" s="1"/>
  <c r="C58" i="3"/>
  <c r="J57" i="4"/>
  <c r="E57" i="4"/>
  <c r="F60" i="4"/>
  <c r="F60" i="3"/>
  <c r="D60" i="3"/>
  <c r="E61" i="3"/>
  <c r="J99" i="2"/>
  <c r="E65" i="2"/>
  <c r="C57" i="2"/>
  <c r="E88" i="3"/>
  <c r="E94" i="3" s="1"/>
  <c r="E100" i="3" s="1"/>
  <c r="D61" i="4"/>
  <c r="J107" i="4"/>
  <c r="D60" i="4"/>
  <c r="C52" i="2"/>
  <c r="C58" i="2" s="1"/>
  <c r="J107" i="2"/>
  <c r="J58" i="2"/>
  <c r="J59" i="2"/>
  <c r="E60" i="4"/>
  <c r="G59" i="2"/>
  <c r="F61" i="3"/>
  <c r="C59" i="4"/>
  <c r="J59" i="4"/>
  <c r="I93" i="2"/>
  <c r="I99" i="2" s="1"/>
  <c r="H58" i="2"/>
  <c r="G65" i="4"/>
  <c r="G88" i="4"/>
  <c r="G76" i="4"/>
  <c r="G82" i="4" s="1"/>
  <c r="G60" i="2"/>
  <c r="J88" i="3"/>
  <c r="J65" i="3"/>
  <c r="J76" i="3"/>
  <c r="J82" i="3" s="1"/>
  <c r="J94" i="3" s="1"/>
  <c r="J100" i="3" s="1"/>
  <c r="D55" i="2"/>
  <c r="D61" i="2" s="1"/>
  <c r="H57" i="2"/>
  <c r="J61" i="2"/>
  <c r="I88" i="2"/>
  <c r="I65" i="2"/>
  <c r="I76" i="2"/>
  <c r="I82" i="2" s="1"/>
  <c r="I94" i="2" s="1"/>
  <c r="I100" i="2" s="1"/>
  <c r="H61" i="2"/>
  <c r="J58" i="3"/>
  <c r="C58" i="4"/>
  <c r="I60" i="4"/>
  <c r="C60" i="3"/>
  <c r="B29" i="7"/>
  <c r="B39" i="7"/>
  <c r="B50" i="7" s="1"/>
  <c r="C87" i="2"/>
  <c r="C75" i="2"/>
  <c r="C81" i="2" s="1"/>
  <c r="C93" i="2" s="1"/>
  <c r="C99" i="2" s="1"/>
  <c r="C64" i="2"/>
  <c r="J60" i="4"/>
  <c r="H65" i="4"/>
  <c r="H88" i="4"/>
  <c r="H76" i="4"/>
  <c r="H82" i="4" s="1"/>
  <c r="I107" i="3"/>
  <c r="J93" i="3"/>
  <c r="J99" i="3" s="1"/>
  <c r="J60" i="3"/>
  <c r="I61" i="3"/>
  <c r="I107" i="2"/>
  <c r="F59" i="3"/>
  <c r="G57" i="4"/>
  <c r="G65" i="2"/>
  <c r="G88" i="2"/>
  <c r="G76" i="2"/>
  <c r="G82" i="2" s="1"/>
  <c r="G94" i="2" s="1"/>
  <c r="G100" i="2" s="1"/>
  <c r="E51" i="3"/>
  <c r="E57" i="3" s="1"/>
  <c r="F65" i="2"/>
  <c r="F88" i="2"/>
  <c r="F76" i="2"/>
  <c r="F82" i="2" s="1"/>
  <c r="F94" i="2" s="1"/>
  <c r="F100" i="2" s="1"/>
  <c r="C75" i="4"/>
  <c r="C81" i="4" s="1"/>
  <c r="C87" i="4"/>
  <c r="C64" i="4"/>
  <c r="J61" i="4"/>
  <c r="I59" i="2"/>
  <c r="D88" i="3"/>
  <c r="D65" i="3"/>
  <c r="D76" i="3"/>
  <c r="D82" i="3" s="1"/>
  <c r="D94" i="3" s="1"/>
  <c r="D100" i="3" s="1"/>
  <c r="D59" i="2"/>
  <c r="F65" i="3"/>
  <c r="F88" i="3"/>
  <c r="F76" i="3"/>
  <c r="F82" i="3" s="1"/>
  <c r="F94" i="3" s="1"/>
  <c r="F100" i="3" s="1"/>
  <c r="J53" i="3"/>
  <c r="J59" i="3" s="1"/>
  <c r="I58" i="2"/>
  <c r="E38" i="7"/>
  <c r="E49" i="7" s="1"/>
  <c r="E28" i="7"/>
  <c r="F55" i="2"/>
  <c r="F61" i="2" s="1"/>
  <c r="F65" i="4"/>
  <c r="F76" i="4"/>
  <c r="F82" i="4" s="1"/>
  <c r="F88" i="4"/>
  <c r="G59" i="3"/>
  <c r="F99" i="2"/>
  <c r="J58" i="4"/>
  <c r="E89" i="4"/>
  <c r="E66" i="4"/>
  <c r="E77" i="4"/>
  <c r="E83" i="4" s="1"/>
  <c r="E95" i="4" s="1"/>
  <c r="E101" i="4" s="1"/>
  <c r="I61" i="2"/>
  <c r="C61" i="3"/>
  <c r="D60" i="2"/>
  <c r="E99" i="4"/>
  <c r="G93" i="2"/>
  <c r="G99" i="2" s="1"/>
  <c r="I99" i="3"/>
  <c r="I59" i="4"/>
  <c r="D52" i="2"/>
  <c r="D58" i="2" s="1"/>
  <c r="F51" i="3"/>
  <c r="F57" i="3" s="1"/>
  <c r="E94" i="4"/>
  <c r="E100" i="4" s="1"/>
  <c r="C87" i="3"/>
  <c r="C64" i="3"/>
  <c r="C75" i="3"/>
  <c r="C81" i="3" s="1"/>
  <c r="J93" i="4"/>
  <c r="J99" i="4" s="1"/>
  <c r="C55" i="2"/>
  <c r="C61" i="2" s="1"/>
  <c r="G58" i="4"/>
  <c r="H107" i="2"/>
  <c r="G51" i="3"/>
  <c r="G57" i="3" s="1"/>
  <c r="D64" i="2"/>
  <c r="D87" i="2"/>
  <c r="D75" i="2"/>
  <c r="D81" i="2" s="1"/>
  <c r="D93" i="2" s="1"/>
  <c r="D99" i="2" s="1"/>
  <c r="F58" i="2"/>
  <c r="F58" i="3"/>
  <c r="E58" i="3"/>
  <c r="H65" i="2"/>
  <c r="H76" i="2"/>
  <c r="H82" i="2" s="1"/>
  <c r="E52" i="2"/>
  <c r="E58" i="2" s="1"/>
  <c r="F59" i="2"/>
  <c r="I60" i="3"/>
  <c r="H60" i="2"/>
  <c r="G99" i="4"/>
  <c r="E59" i="2"/>
  <c r="G93" i="3"/>
  <c r="G99" i="3" s="1"/>
  <c r="F60" i="2"/>
  <c r="E54" i="3"/>
  <c r="E60" i="3" s="1"/>
  <c r="D38" i="7"/>
  <c r="D49" i="7" s="1"/>
  <c r="D28" i="7"/>
  <c r="J65" i="2"/>
  <c r="J76" i="2"/>
  <c r="J82" i="2" s="1"/>
  <c r="J88" i="2"/>
  <c r="F52" i="4"/>
  <c r="F58" i="4" s="1"/>
  <c r="J66" i="4"/>
  <c r="J77" i="4"/>
  <c r="J83" i="4" s="1"/>
  <c r="J89" i="4"/>
  <c r="I65" i="3"/>
  <c r="I88" i="3"/>
  <c r="I76" i="3"/>
  <c r="I82" i="3" s="1"/>
  <c r="I94" i="3" s="1"/>
  <c r="I100" i="3" s="1"/>
  <c r="C29" i="7"/>
  <c r="C39" i="7"/>
  <c r="C50" i="7" s="1"/>
  <c r="E77" i="2"/>
  <c r="E83" i="2" s="1"/>
  <c r="E66" i="2"/>
  <c r="E89" i="2"/>
  <c r="D64" i="4"/>
  <c r="D87" i="4"/>
  <c r="D75" i="4"/>
  <c r="D81" i="4" s="1"/>
  <c r="D93" i="4" s="1"/>
  <c r="D99" i="4" s="1"/>
  <c r="D51" i="4"/>
  <c r="D57" i="4" s="1"/>
  <c r="G65" i="3"/>
  <c r="G88" i="3"/>
  <c r="G76" i="3"/>
  <c r="G82" i="3" s="1"/>
  <c r="H65" i="3"/>
  <c r="H88" i="3"/>
  <c r="H76" i="3"/>
  <c r="H82" i="3" s="1"/>
  <c r="H94" i="3" s="1"/>
  <c r="H100" i="3" s="1"/>
  <c r="I54" i="2"/>
  <c r="I60" i="2" s="1"/>
  <c r="I58" i="4"/>
  <c r="E95" i="2" l="1"/>
  <c r="E101" i="2" s="1"/>
  <c r="H94" i="2"/>
  <c r="H100" i="2" s="1"/>
  <c r="C93" i="4"/>
  <c r="C99" i="4" s="1"/>
  <c r="I76" i="4"/>
  <c r="I82" i="4" s="1"/>
  <c r="I94" i="4" s="1"/>
  <c r="I100" i="4" s="1"/>
  <c r="I65" i="4"/>
  <c r="I88" i="4"/>
  <c r="J94" i="2"/>
  <c r="J100" i="2" s="1"/>
  <c r="G94" i="4"/>
  <c r="G100" i="4" s="1"/>
  <c r="G94" i="3"/>
  <c r="G100" i="3" s="1"/>
  <c r="E89" i="3"/>
  <c r="E77" i="3"/>
  <c r="E83" i="3" s="1"/>
  <c r="E95" i="3" s="1"/>
  <c r="E101" i="3" s="1"/>
  <c r="E66" i="3"/>
  <c r="C30" i="7"/>
  <c r="C40" i="7"/>
  <c r="C51" i="7" s="1"/>
  <c r="C76" i="3"/>
  <c r="C82" i="3" s="1"/>
  <c r="C88" i="3"/>
  <c r="C65" i="3"/>
  <c r="F66" i="2"/>
  <c r="F77" i="2"/>
  <c r="F83" i="2" s="1"/>
  <c r="F89" i="2"/>
  <c r="F77" i="3"/>
  <c r="F83" i="3" s="1"/>
  <c r="F66" i="3"/>
  <c r="F89" i="3"/>
  <c r="I77" i="2"/>
  <c r="I83" i="2" s="1"/>
  <c r="I66" i="2"/>
  <c r="I89" i="2"/>
  <c r="F94" i="4"/>
  <c r="F100" i="4" s="1"/>
  <c r="G66" i="2"/>
  <c r="G77" i="2"/>
  <c r="G83" i="2" s="1"/>
  <c r="G89" i="2"/>
  <c r="H66" i="2"/>
  <c r="H77" i="2"/>
  <c r="H83" i="2" s="1"/>
  <c r="H89" i="2"/>
  <c r="E29" i="7"/>
  <c r="E39" i="7"/>
  <c r="E50" i="7" s="1"/>
  <c r="D65" i="2"/>
  <c r="D88" i="2"/>
  <c r="D76" i="2"/>
  <c r="D82" i="2" s="1"/>
  <c r="I77" i="3"/>
  <c r="I83" i="3" s="1"/>
  <c r="I66" i="3"/>
  <c r="I89" i="3"/>
  <c r="H66" i="3"/>
  <c r="H77" i="3"/>
  <c r="H83" i="3" s="1"/>
  <c r="H89" i="3"/>
  <c r="D89" i="3"/>
  <c r="D66" i="3"/>
  <c r="D77" i="3"/>
  <c r="D83" i="3" s="1"/>
  <c r="D95" i="3" s="1"/>
  <c r="D101" i="3" s="1"/>
  <c r="E78" i="4"/>
  <c r="E84" i="4" s="1"/>
  <c r="E90" i="4"/>
  <c r="E67" i="4"/>
  <c r="H94" i="4"/>
  <c r="H100" i="4" s="1"/>
  <c r="J89" i="3"/>
  <c r="J66" i="3"/>
  <c r="J77" i="3"/>
  <c r="J83" i="3" s="1"/>
  <c r="D76" i="4"/>
  <c r="D82" i="4" s="1"/>
  <c r="D88" i="4"/>
  <c r="D65" i="4"/>
  <c r="H77" i="4"/>
  <c r="H83" i="4" s="1"/>
  <c r="H66" i="4"/>
  <c r="H89" i="4"/>
  <c r="E90" i="2"/>
  <c r="E78" i="2"/>
  <c r="E84" i="2" s="1"/>
  <c r="E67" i="2"/>
  <c r="B40" i="7"/>
  <c r="B51" i="7" s="1"/>
  <c r="B30" i="7"/>
  <c r="J78" i="4"/>
  <c r="J84" i="4" s="1"/>
  <c r="J90" i="4"/>
  <c r="J67" i="4"/>
  <c r="G77" i="3"/>
  <c r="G83" i="3" s="1"/>
  <c r="G66" i="3"/>
  <c r="G89" i="3"/>
  <c r="J66" i="2"/>
  <c r="J89" i="2"/>
  <c r="J77" i="2"/>
  <c r="J83" i="2" s="1"/>
  <c r="J95" i="2" s="1"/>
  <c r="J101" i="2" s="1"/>
  <c r="C88" i="4"/>
  <c r="C76" i="4"/>
  <c r="C82" i="4" s="1"/>
  <c r="C65" i="4"/>
  <c r="F77" i="4"/>
  <c r="F83" i="4" s="1"/>
  <c r="F66" i="4"/>
  <c r="F89" i="4"/>
  <c r="J95" i="4"/>
  <c r="J101" i="4" s="1"/>
  <c r="D29" i="7"/>
  <c r="D39" i="7"/>
  <c r="D50" i="7" s="1"/>
  <c r="C93" i="3"/>
  <c r="C99" i="3" s="1"/>
  <c r="C88" i="2"/>
  <c r="C65" i="2"/>
  <c r="C76" i="2"/>
  <c r="C82" i="2" s="1"/>
  <c r="G66" i="4"/>
  <c r="G77" i="4"/>
  <c r="G83" i="4" s="1"/>
  <c r="G89" i="4"/>
  <c r="C94" i="3" l="1"/>
  <c r="C100" i="3" s="1"/>
  <c r="E67" i="3"/>
  <c r="E78" i="3"/>
  <c r="E84" i="3" s="1"/>
  <c r="E90" i="3"/>
  <c r="G95" i="3"/>
  <c r="G101" i="3" s="1"/>
  <c r="C94" i="2"/>
  <c r="C100" i="2" s="1"/>
  <c r="I77" i="4"/>
  <c r="I83" i="4" s="1"/>
  <c r="I66" i="4"/>
  <c r="I89" i="4"/>
  <c r="E96" i="2"/>
  <c r="E102" i="2" s="1"/>
  <c r="C31" i="7"/>
  <c r="C42" i="7" s="1"/>
  <c r="C41" i="7"/>
  <c r="C52" i="7" s="1"/>
  <c r="J78" i="3"/>
  <c r="J84" i="3" s="1"/>
  <c r="J90" i="3"/>
  <c r="J67" i="3"/>
  <c r="G95" i="4"/>
  <c r="G101" i="4" s="1"/>
  <c r="C66" i="2"/>
  <c r="C77" i="2"/>
  <c r="C83" i="2" s="1"/>
  <c r="C89" i="2"/>
  <c r="H95" i="2"/>
  <c r="H101" i="2" s="1"/>
  <c r="H78" i="2"/>
  <c r="H84" i="2" s="1"/>
  <c r="H90" i="2"/>
  <c r="H67" i="2"/>
  <c r="E91" i="2"/>
  <c r="E79" i="2"/>
  <c r="E85" i="2" s="1"/>
  <c r="E97" i="2" s="1"/>
  <c r="J79" i="4"/>
  <c r="J85" i="4" s="1"/>
  <c r="J91" i="4"/>
  <c r="E96" i="4"/>
  <c r="E102" i="4" s="1"/>
  <c r="J95" i="3"/>
  <c r="J101" i="3" s="1"/>
  <c r="F78" i="2"/>
  <c r="F84" i="2" s="1"/>
  <c r="F90" i="2"/>
  <c r="F67" i="2"/>
  <c r="G67" i="4"/>
  <c r="G78" i="4"/>
  <c r="G84" i="4" s="1"/>
  <c r="G90" i="4"/>
  <c r="E91" i="4"/>
  <c r="E79" i="4"/>
  <c r="E85" i="4" s="1"/>
  <c r="E97" i="4" s="1"/>
  <c r="D94" i="2"/>
  <c r="D100" i="2" s="1"/>
  <c r="J96" i="4"/>
  <c r="J102" i="4" s="1"/>
  <c r="C66" i="4"/>
  <c r="C89" i="4"/>
  <c r="C77" i="4"/>
  <c r="C83" i="4" s="1"/>
  <c r="C95" i="4" s="1"/>
  <c r="C101" i="4" s="1"/>
  <c r="G78" i="2"/>
  <c r="G84" i="2" s="1"/>
  <c r="G90" i="2"/>
  <c r="G67" i="2"/>
  <c r="B31" i="7"/>
  <c r="B42" i="7" s="1"/>
  <c r="B41" i="7"/>
  <c r="B52" i="7" s="1"/>
  <c r="F67" i="4"/>
  <c r="F90" i="4"/>
  <c r="F78" i="4"/>
  <c r="F84" i="4" s="1"/>
  <c r="F96" i="4" s="1"/>
  <c r="F102" i="4" s="1"/>
  <c r="D40" i="7"/>
  <c r="D51" i="7" s="1"/>
  <c r="D30" i="7"/>
  <c r="F95" i="4"/>
  <c r="F101" i="4" s="1"/>
  <c r="H95" i="3"/>
  <c r="H101" i="3" s="1"/>
  <c r="I78" i="2"/>
  <c r="I84" i="2" s="1"/>
  <c r="I90" i="2"/>
  <c r="I67" i="2"/>
  <c r="I95" i="2"/>
  <c r="I101" i="2" s="1"/>
  <c r="F95" i="2"/>
  <c r="F101" i="2" s="1"/>
  <c r="E30" i="7"/>
  <c r="E40" i="7"/>
  <c r="E51" i="7" s="1"/>
  <c r="H78" i="3"/>
  <c r="H84" i="3" s="1"/>
  <c r="H90" i="3"/>
  <c r="H67" i="3"/>
  <c r="H95" i="4"/>
  <c r="H101" i="4" s="1"/>
  <c r="I95" i="3"/>
  <c r="I101" i="3" s="1"/>
  <c r="J67" i="2"/>
  <c r="J90" i="2"/>
  <c r="J78" i="2"/>
  <c r="J84" i="2" s="1"/>
  <c r="J96" i="2" s="1"/>
  <c r="J102" i="2" s="1"/>
  <c r="D67" i="3"/>
  <c r="D78" i="3"/>
  <c r="D84" i="3" s="1"/>
  <c r="D90" i="3"/>
  <c r="C94" i="4"/>
  <c r="C100" i="4" s="1"/>
  <c r="I78" i="3"/>
  <c r="I84" i="3" s="1"/>
  <c r="I90" i="3"/>
  <c r="I67" i="3"/>
  <c r="D94" i="4"/>
  <c r="D100" i="4" s="1"/>
  <c r="F90" i="3"/>
  <c r="F78" i="3"/>
  <c r="F84" i="3" s="1"/>
  <c r="F67" i="3"/>
  <c r="D77" i="2"/>
  <c r="D83" i="2" s="1"/>
  <c r="D66" i="2"/>
  <c r="D89" i="2"/>
  <c r="C89" i="3"/>
  <c r="C66" i="3"/>
  <c r="C77" i="3"/>
  <c r="C83" i="3" s="1"/>
  <c r="C95" i="3" s="1"/>
  <c r="C101" i="3" s="1"/>
  <c r="G95" i="2"/>
  <c r="G101" i="2" s="1"/>
  <c r="H90" i="4"/>
  <c r="H78" i="4"/>
  <c r="H84" i="4" s="1"/>
  <c r="H96" i="4" s="1"/>
  <c r="H102" i="4" s="1"/>
  <c r="H67" i="4"/>
  <c r="D77" i="4"/>
  <c r="D83" i="4" s="1"/>
  <c r="D89" i="4"/>
  <c r="D66" i="4"/>
  <c r="G90" i="3"/>
  <c r="G78" i="3"/>
  <c r="G84" i="3" s="1"/>
  <c r="G96" i="3" s="1"/>
  <c r="G102" i="3" s="1"/>
  <c r="G67" i="3"/>
  <c r="F95" i="3"/>
  <c r="F101" i="3" s="1"/>
  <c r="G96" i="4" l="1"/>
  <c r="G102" i="4" s="1"/>
  <c r="D95" i="2"/>
  <c r="D101" i="2" s="1"/>
  <c r="C95" i="2"/>
  <c r="C101" i="2" s="1"/>
  <c r="I95" i="4"/>
  <c r="I101" i="4" s="1"/>
  <c r="E96" i="3"/>
  <c r="E102" i="3" s="1"/>
  <c r="H96" i="3"/>
  <c r="H102" i="3" s="1"/>
  <c r="F96" i="2"/>
  <c r="F102" i="2" s="1"/>
  <c r="I67" i="4"/>
  <c r="I90" i="4"/>
  <c r="I78" i="4"/>
  <c r="I84" i="4" s="1"/>
  <c r="I96" i="4" s="1"/>
  <c r="I102" i="4" s="1"/>
  <c r="E91" i="3"/>
  <c r="E79" i="3"/>
  <c r="E85" i="3" s="1"/>
  <c r="E97" i="3" s="1"/>
  <c r="I96" i="3"/>
  <c r="I102" i="3" s="1"/>
  <c r="H96" i="2"/>
  <c r="H102" i="2" s="1"/>
  <c r="H105" i="2" s="1"/>
  <c r="H109" i="2" s="1"/>
  <c r="E106" i="4"/>
  <c r="E107" i="4" s="1"/>
  <c r="E103" i="4"/>
  <c r="E105" i="4" s="1"/>
  <c r="E109" i="4" s="1"/>
  <c r="I91" i="2"/>
  <c r="I79" i="2"/>
  <c r="I85" i="2" s="1"/>
  <c r="C67" i="2"/>
  <c r="C78" i="2"/>
  <c r="C84" i="2" s="1"/>
  <c r="C90" i="2"/>
  <c r="J96" i="3"/>
  <c r="J102" i="3" s="1"/>
  <c r="D91" i="3"/>
  <c r="D79" i="3"/>
  <c r="D85" i="3" s="1"/>
  <c r="D97" i="3" s="1"/>
  <c r="I96" i="2"/>
  <c r="I102" i="2" s="1"/>
  <c r="J91" i="3"/>
  <c r="J79" i="3"/>
  <c r="J85" i="3" s="1"/>
  <c r="D96" i="3"/>
  <c r="D102" i="3" s="1"/>
  <c r="C55" i="7"/>
  <c r="C56" i="7" s="1"/>
  <c r="C53" i="7"/>
  <c r="C54" i="7" s="1"/>
  <c r="C57" i="7" s="1"/>
  <c r="C58" i="7" s="1"/>
  <c r="C59" i="7" s="1"/>
  <c r="C60" i="7" s="1"/>
  <c r="D95" i="4"/>
  <c r="D101" i="4" s="1"/>
  <c r="F91" i="2"/>
  <c r="F79" i="2"/>
  <c r="F85" i="2" s="1"/>
  <c r="F97" i="2" s="1"/>
  <c r="G91" i="3"/>
  <c r="G79" i="3"/>
  <c r="G85" i="3" s="1"/>
  <c r="E31" i="7"/>
  <c r="E42" i="7" s="1"/>
  <c r="E41" i="7"/>
  <c r="E52" i="7" s="1"/>
  <c r="J97" i="4"/>
  <c r="J103" i="4" s="1"/>
  <c r="J105" i="4" s="1"/>
  <c r="J109" i="4" s="1"/>
  <c r="I91" i="3"/>
  <c r="I79" i="3"/>
  <c r="I85" i="3" s="1"/>
  <c r="F91" i="4"/>
  <c r="F79" i="4"/>
  <c r="F85" i="4" s="1"/>
  <c r="E103" i="2"/>
  <c r="E105" i="2" s="1"/>
  <c r="E109" i="2" s="1"/>
  <c r="E106" i="2"/>
  <c r="E107" i="2" s="1"/>
  <c r="F91" i="3"/>
  <c r="F79" i="3"/>
  <c r="F85" i="3" s="1"/>
  <c r="F97" i="3" s="1"/>
  <c r="F96" i="3"/>
  <c r="F102" i="3" s="1"/>
  <c r="C78" i="4"/>
  <c r="C84" i="4" s="1"/>
  <c r="C90" i="4"/>
  <c r="C67" i="4"/>
  <c r="D67" i="4"/>
  <c r="D90" i="4"/>
  <c r="D78" i="4"/>
  <c r="D84" i="4" s="1"/>
  <c r="D96" i="4" s="1"/>
  <c r="D102" i="4" s="1"/>
  <c r="G79" i="4"/>
  <c r="G85" i="4" s="1"/>
  <c r="G91" i="4"/>
  <c r="H91" i="4"/>
  <c r="H79" i="4"/>
  <c r="H85" i="4" s="1"/>
  <c r="C78" i="3"/>
  <c r="C84" i="3" s="1"/>
  <c r="C67" i="3"/>
  <c r="C90" i="3"/>
  <c r="H91" i="3"/>
  <c r="H79" i="3"/>
  <c r="H85" i="3" s="1"/>
  <c r="H97" i="3" s="1"/>
  <c r="H103" i="3" s="1"/>
  <c r="H105" i="3" s="1"/>
  <c r="H109" i="3" s="1"/>
  <c r="D31" i="7"/>
  <c r="D42" i="7" s="1"/>
  <c r="D41" i="7"/>
  <c r="D52" i="7" s="1"/>
  <c r="J79" i="2"/>
  <c r="J85" i="2" s="1"/>
  <c r="J97" i="2" s="1"/>
  <c r="J103" i="2" s="1"/>
  <c r="J105" i="2" s="1"/>
  <c r="J109" i="2" s="1"/>
  <c r="J91" i="2"/>
  <c r="B55" i="7"/>
  <c r="B56" i="7" s="1"/>
  <c r="B53" i="7"/>
  <c r="B54" i="7" s="1"/>
  <c r="G91" i="2"/>
  <c r="G79" i="2"/>
  <c r="G85" i="2" s="1"/>
  <c r="G97" i="2" s="1"/>
  <c r="D90" i="2"/>
  <c r="D78" i="2"/>
  <c r="D84" i="2" s="1"/>
  <c r="D67" i="2"/>
  <c r="G96" i="2"/>
  <c r="G102" i="2" s="1"/>
  <c r="H91" i="2"/>
  <c r="H79" i="2"/>
  <c r="H85" i="2" s="1"/>
  <c r="H97" i="2" s="1"/>
  <c r="H103" i="2" s="1"/>
  <c r="E106" i="3" l="1"/>
  <c r="E107" i="3" s="1"/>
  <c r="E103" i="3"/>
  <c r="E105" i="3" s="1"/>
  <c r="E109" i="3" s="1"/>
  <c r="I91" i="4"/>
  <c r="I79" i="4"/>
  <c r="I85" i="4" s="1"/>
  <c r="I97" i="4" s="1"/>
  <c r="I103" i="4" s="1"/>
  <c r="I105" i="4" s="1"/>
  <c r="I109" i="4" s="1"/>
  <c r="F97" i="4"/>
  <c r="I97" i="2"/>
  <c r="I103" i="2" s="1"/>
  <c r="I105" i="2" s="1"/>
  <c r="I109" i="2" s="1"/>
  <c r="C96" i="3"/>
  <c r="C102" i="3" s="1"/>
  <c r="C91" i="3"/>
  <c r="C79" i="3"/>
  <c r="C85" i="3" s="1"/>
  <c r="C97" i="3" s="1"/>
  <c r="D106" i="3"/>
  <c r="D107" i="3" s="1"/>
  <c r="D103" i="3"/>
  <c r="D105" i="3" s="1"/>
  <c r="D109" i="3" s="1"/>
  <c r="I97" i="3"/>
  <c r="I103" i="3" s="1"/>
  <c r="I105" i="3" s="1"/>
  <c r="I109" i="3" s="1"/>
  <c r="G103" i="2"/>
  <c r="G105" i="2" s="1"/>
  <c r="G109" i="2" s="1"/>
  <c r="G106" i="2"/>
  <c r="G107" i="2" s="1"/>
  <c r="F106" i="4"/>
  <c r="F107" i="4" s="1"/>
  <c r="F103" i="4"/>
  <c r="F105" i="4" s="1"/>
  <c r="G97" i="4"/>
  <c r="D91" i="2"/>
  <c r="D79" i="2"/>
  <c r="D85" i="2" s="1"/>
  <c r="D97" i="2" s="1"/>
  <c r="C96" i="2"/>
  <c r="C102" i="2" s="1"/>
  <c r="C91" i="2"/>
  <c r="C79" i="2"/>
  <c r="C85" i="2" s="1"/>
  <c r="B57" i="7"/>
  <c r="B58" i="7" s="1"/>
  <c r="B59" i="7" s="1"/>
  <c r="B60" i="7" s="1"/>
  <c r="C79" i="4"/>
  <c r="C85" i="4" s="1"/>
  <c r="C91" i="4"/>
  <c r="D79" i="4"/>
  <c r="D85" i="4" s="1"/>
  <c r="D91" i="4"/>
  <c r="C96" i="4"/>
  <c r="C102" i="4" s="1"/>
  <c r="J97" i="3"/>
  <c r="J103" i="3" s="1"/>
  <c r="J105" i="3" s="1"/>
  <c r="J109" i="3" s="1"/>
  <c r="D96" i="2"/>
  <c r="D102" i="2" s="1"/>
  <c r="E55" i="7"/>
  <c r="E56" i="7" s="1"/>
  <c r="E53" i="7"/>
  <c r="E54" i="7" s="1"/>
  <c r="E57" i="7" s="1"/>
  <c r="E58" i="7" s="1"/>
  <c r="E59" i="7" s="1"/>
  <c r="E60" i="7" s="1"/>
  <c r="G97" i="3"/>
  <c r="F106" i="2"/>
  <c r="F107" i="2" s="1"/>
  <c r="F103" i="2"/>
  <c r="F105" i="2" s="1"/>
  <c r="F109" i="2" s="1"/>
  <c r="F103" i="3"/>
  <c r="F105" i="3" s="1"/>
  <c r="F106" i="3"/>
  <c r="F107" i="3" s="1"/>
  <c r="H97" i="4"/>
  <c r="H103" i="4" s="1"/>
  <c r="H105" i="4" s="1"/>
  <c r="H109" i="4" s="1"/>
  <c r="D55" i="7"/>
  <c r="D56" i="7" s="1"/>
  <c r="D53" i="7"/>
  <c r="D54" i="7" s="1"/>
  <c r="D57" i="7" s="1"/>
  <c r="D58" i="7" s="1"/>
  <c r="D59" i="7" s="1"/>
  <c r="D60" i="7" s="1"/>
  <c r="D97" i="4" l="1"/>
  <c r="F109" i="4"/>
  <c r="C97" i="4"/>
  <c r="D103" i="2"/>
  <c r="D105" i="2" s="1"/>
  <c r="D106" i="2"/>
  <c r="D107" i="2" s="1"/>
  <c r="D106" i="4"/>
  <c r="D107" i="4" s="1"/>
  <c r="D103" i="4"/>
  <c r="D105" i="4" s="1"/>
  <c r="D109" i="4" s="1"/>
  <c r="C97" i="2"/>
  <c r="G106" i="4"/>
  <c r="G107" i="4" s="1"/>
  <c r="G103" i="4"/>
  <c r="G105" i="4" s="1"/>
  <c r="C103" i="3"/>
  <c r="C105" i="3" s="1"/>
  <c r="C106" i="3"/>
  <c r="C107" i="3" s="1"/>
  <c r="F109" i="3"/>
  <c r="G103" i="3"/>
  <c r="G105" i="3" s="1"/>
  <c r="G106" i="3"/>
  <c r="G107" i="3" s="1"/>
  <c r="G109" i="3" l="1"/>
  <c r="D109" i="2"/>
  <c r="C106" i="2"/>
  <c r="C107" i="2" s="1"/>
  <c r="C103" i="2"/>
  <c r="C105" i="2" s="1"/>
  <c r="C109" i="2" s="1"/>
  <c r="G109" i="4"/>
  <c r="C109" i="3"/>
  <c r="C106" i="4"/>
  <c r="C107" i="4" s="1"/>
  <c r="C103" i="4"/>
  <c r="C105" i="4" s="1"/>
  <c r="C109" i="4" s="1"/>
  <c r="K110" i="4" l="1"/>
  <c r="K109" i="4"/>
  <c r="K119" i="4" s="1"/>
  <c r="K122" i="4" s="1"/>
  <c r="B19" i="6" s="1"/>
  <c r="E19" i="6" s="1"/>
  <c r="K110" i="2"/>
  <c r="K109" i="2"/>
  <c r="K119" i="2" s="1"/>
  <c r="K122" i="2" s="1"/>
  <c r="B18" i="6" s="1"/>
  <c r="E18" i="6" s="1"/>
  <c r="K109" i="3"/>
  <c r="K119" i="3" s="1"/>
  <c r="K122" i="3" s="1"/>
  <c r="B17" i="6" s="1"/>
  <c r="K110" i="3"/>
  <c r="B21" i="6" l="1"/>
  <c r="E17" i="6"/>
  <c r="E2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FinSurf Q-Update</author>
  </authors>
  <commentList>
    <comment ref="B1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Q-Update H1 2026 · Total Debt
FY: 12,069m → aktuell: 12,865m
Begründung: Q-Bilanz (structural)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FinSurf Q-Update</author>
  </authors>
  <commentList>
    <comment ref="C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Q-Update H1 2026 · Express · Umsatz-CAGR
FY: 3.5% → aktuell: 4.8%
Begründung: Baseline 3,5% CAGR unterstellte teilweise Normalisierung der US-Handelsbeziehungen plus MEA/Asien/Life-Sciences/New-Energy-Wachstum (TDI-Volumen 2025 zollbedingt -9,4%). Q-Befund H1 2026 (gemessen auffällig, +6,1pp ggü. Annahme, gewichtet +1,74pp): Revenue +9,6% reported, ex-FX/Fuel-Surcharge +6,0%; TDI-Tagesgewicht +3,7% ggü. Vorjahr - klare Volumen-Erholung aus dem 2025er Zoll-Trog, kein Einmaleffekt. year1-Blend: (6,0% fy_growth_implied + 3,5% Baseline-CAGR)/2 = 4,75%. revenue_growth neu =...</t>
        </r>
      </text>
    </comment>
    <comment ref="C7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Q-Update H1 2026 · Express · EBIT-Marge Y1
FY: 12.9% → aktuell: 14.1%
Begründung: Baseline Y1 12,9% (=FY2025 berichtete Marge, kein Addback), Y5 13,5%. Q-Befund H1 2026 (gemessen auffällig, +2,3pp ggü. Annahme): reported EBIT-Marge 15,2% (Q2 allein 16,8%, Q1 rechnerisch ca. 13,3%) - durchgängig steigender Trend über 3 Perioden: 12,3% (2024) -&gt; 12,9% (2025) -&gt; 15,2% (H1 2026). Bericht nennt explizit einen Kapazitätsauslastungs-Effekt (~+€150 Mio aus Luftfracht-Kapazitätsengpässen) zusätzlich zu strikter Kostendisziplin und effektivem Yield-Management. Kapazitätsengpass-Tail...</t>
        </r>
      </text>
    </comment>
    <comment ref="D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Q-Update H1 2026 · Global Forwarding · EBIT-Marge Y1
FY: 4.6% → aktuell: 3.8%
Begründung: Baseline Y1-Anchor 4,6% (=FY2025 reported 4,1% + Addback +0,45pp für explizit 'non-recurring' Restrukturierungsaufwand €84 Mio), Y5 6,0% (Override 'midcycle_floor', unverändert). Q-Befund (gemessen auffällig, 'unter Annahme', Base-Bedingung des Jahreslaufs verletzt): H1 2026 reported EBIT-Marge nur 4,0% (€404 Mio/€9.975 Mio) - sogar unter der bereits gedrückten Vorjahresvergleichsbasis H1 2025 (4,2%) -, trotz solidem Umsatzwachstum (+6,3% reported, +7,2% ex-FX; Luftfracht-Gross-Profit +19,7%,...</t>
        </r>
      </text>
    </comment>
    <comment ref="C9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Q-Update H1 2026 · Express · EBIT-Marge Y5
FY: 13.5% → aktuell: 14.0%
Begründung: Baseline Y1 12,9% (=FY2025 berichtete Marge, kein Addback), Y5 13,5%. Q-Befund H1 2026 (gemessen auffällig, +2,3pp ggü. Annahme): reported EBIT-Marge 15,2% (Q2 allein 16,8%, Q1 rechnerisch ca. 13,3%) - durchgängig steigender Trend über 3 Perioden: 12,3% (2024) -&gt; 12,9% (2025) -&gt; 15,2% (H1 2026). Bericht nennt explizit einen Kapazitätsauslastungs-Effekt (~+€150 Mio aus Luftfracht-Kapazitätsengpässen) zusätzlich zu strikter Kostendisziplin und effektivem Yield-Management. Kapazitätsengpass-Tail...</t>
        </r>
      </text>
    </comment>
  </commentList>
</comments>
</file>

<file path=xl/sharedStrings.xml><?xml version="1.0" encoding="utf-8"?>
<sst xmlns="http://schemas.openxmlformats.org/spreadsheetml/2006/main" count="628" uniqueCount="355">
  <si>
    <t>FinSurf — SOTP-DCF Inputs</t>
  </si>
  <si>
    <t>Phase 2 v3 — per-Segment WACC (Damodaran β), shared D/E + tax. Column C = Reasoning.</t>
  </si>
  <si>
    <t>── Company ──</t>
  </si>
  <si>
    <t>Company</t>
  </si>
  <si>
    <t>DHL Group</t>
  </si>
  <si>
    <t>Ticker</t>
  </si>
  <si>
    <t>DHL</t>
  </si>
  <si>
    <t>Currency</t>
  </si>
  <si>
    <t>EUR</t>
  </si>
  <si>
    <t>Report Date (ISO)</t>
  </si>
  <si>
    <t>2025-12-31</t>
  </si>
  <si>
    <t>── Group Bilanz (Y0) ──</t>
  </si>
  <si>
    <t>Shares Outstanding (Mio.)</t>
  </si>
  <si>
    <t>Cash (Mio.)</t>
  </si>
  <si>
    <t>Total Debt ex-Leases (Mio.)</t>
  </si>
  <si>
    <t>Net Debt (Mio.) [calc]</t>
  </si>
  <si>
    <t>Minority Interest (Mio.)</t>
  </si>
  <si>
    <t>── WACC Build-Up (Group-Defaults; Segmente überschreiben β) ──</t>
  </si>
  <si>
    <t>← Reasoning (Writer befüllt)</t>
  </si>
  <si>
    <t>Risk-Free Rate (Rf)</t>
  </si>
  <si>
    <t>Bund 10y, Jahresende 2025 (Näherung)</t>
  </si>
  <si>
    <t>Equity Risk Premium (ERP)</t>
  </si>
  <si>
    <t>Damodaran Europe (deterministisch)</t>
  </si>
  <si>
    <t>Unlevered Beta (Group, Fallback)</t>
  </si>
  <si>
    <t>Damodaran Sektor-Beta, aus data/industry_betas.json</t>
  </si>
  <si>
    <t>Target D/E</t>
  </si>
  <si>
    <t>(Kapitalstruktur-Annahme: Writer)</t>
  </si>
  <si>
    <t>Tax Rate</t>
  </si>
  <si>
    <t>(Effektiver Steuersatz: Writer)</t>
  </si>
  <si>
    <t>Levered Beta Group [calc, β→1 konvergiert]</t>
  </si>
  <si>
    <t>Country Risk Premium</t>
  </si>
  <si>
    <t>Überwiegend entwickelte Märkte (DE, EU, US, APAC); geringe EM-Prämie für Restexposure Türkei (IAS29-Hyperinflation), Indien, Saudi-Arabien (ASMO-JV).</t>
  </si>
  <si>
    <t>Specific Risk Premium</t>
  </si>
  <si>
    <t>Keine strukturellen Governance-/Konzentrations-/Bilanzrisiken identifiziert; KfW hält 17,73% der Anteile, aber keine Mehrheitskontrolle über Deutsche Post AG.</t>
  </si>
  <si>
    <t>Cost of Equity Group [calc, ≥ Kd + Nachrang-Spread]</t>
  </si>
  <si>
    <t>Cost of Debt pre-tax (Kd)</t>
  </si>
  <si>
    <t>Effektiv gezahlter Zinssatz (ohne Leasing) 2025 ca. 1,7-2,0% (€213 Mio Zinsen bezahlt / ca. €12,7 Mrd. Finanzschulden ex-Lease), basierend auf Legacy-Niedrigzins-Anleihen. Für Neuemissionen/Forward-Marginalkosten bei Zielrating BBB+/A- konservativ 3,5% angesetzt (über dem historischen Ist-Satz, reflektiert aktuelles IG-Zinsniveau; 2025 wurden neue Anleihen mit Gesamtvolumen €4,5 Mrd. zu höheren Kupons platziert).</t>
  </si>
  <si>
    <t>Cost of Debt after-tax [calc]</t>
  </si>
  <si>
    <t>Equity Weight E/(D+E) [calc]</t>
  </si>
  <si>
    <t>Debt Weight D/(D+E) [calc]</t>
  </si>
  <si>
    <t>WACC Group [calc, =MAX(CAPM, Floor)]</t>
  </si>
  <si>
    <t>── Sensitivity-Shocks (Phase 2.5) ──</t>
  </si>
  <si>
    <t>Margin Shock (pp)</t>
  </si>
  <si>
    <t>Growth Shock (pp)</t>
  </si>
  <si>
    <t>WACC Floor (Group, Sektor-Anker)</t>
  </si>
  <si>
    <t>rf(Whg) + β_low(Sektor)×ERP — Writer (data/wacc_floors)</t>
  </si>
  <si>
    <t>Terminal Debt Weight D/(D+E) (firmeneigen, gehalten)</t>
  </si>
  <si>
    <t>Stable-Phase haelt die aktuelle Kapitalstruktur — Writer (terminal_debt_weight_for: current D/E oder Lock-Override)</t>
  </si>
  <si>
    <t>Terminal Kd pre-tax (Rf + base + slope×wD)</t>
  </si>
  <si>
    <t>Credit-Curve: Spread steigt mit Leverage (Anti-Free-Lunch)</t>
  </si>
  <si>
    <t>Terminal Kd after-tax [calc]</t>
  </si>
  <si>
    <t>Groessenpraemie (Marktkap-Band)</t>
  </si>
  <si>
    <t>Writer — data/size_premium.json (Kroll-Baender); wirkt explizit UND terminal</t>
  </si>
  <si>
    <t>Pensions-Unterdeckung (DBO - Planvermoegen), Anhang</t>
  </si>
  <si>
    <t>Hybrid-/Nachrangkapital, von IFRS als Eigenkapital gefuehrt</t>
  </si>
  <si>
    <t>SOTP DCF [Base] — Segment-Level Forecast + Group-Aggregation</t>
  </si>
  <si>
    <t>Yellow = Inputs. Orange = Reasoning (Writer befüllt nach Review-Call). Blue = computed. Green = output.</t>
  </si>
  <si>
    <t>Express</t>
  </si>
  <si>
    <t>Global Forwarding</t>
  </si>
  <si>
    <t>Supply Chain</t>
  </si>
  <si>
    <t>eCommerce</t>
  </si>
  <si>
    <t>Post &amp; Parcel Germany</t>
  </si>
  <si>
    <t>Segment 6</t>
  </si>
  <si>
    <t>Segment 7</t>
  </si>
  <si>
    <t>Segment 8</t>
  </si>
  <si>
    <t>GROUP</t>
  </si>
  <si>
    <t>Segment name</t>
  </si>
  <si>
    <t>Y0 Revenue (Mio.)</t>
  </si>
  <si>
    <t>Revenue CAGR (5J)</t>
  </si>
  <si>
    <t>EBIT Margin Y1</t>
  </si>
  <si>
    <t>EBIT Margin Y1 (berichtet, IST)</t>
  </si>
  <si>
    <t>EBIT Margin Y5 (optional)</t>
  </si>
  <si>
    <t>Brutto-Capex / Revenue (Audit)</t>
  </si>
  <si>
    <t>D&amp;A / Revenue (Audit)</t>
  </si>
  <si>
    <t>Net Capex / Revenue (direkt, Y1)</t>
  </si>
  <si>
    <t>Terminal Growth</t>
  </si>
  <si>
    <t>Unlevered β (Damodaran, Segment)</t>
  </si>
  <si>
    <t>WACC-Floor (Sektor, Damodaran-Anker)</t>
  </si>
  <si>
    <t>Segment WACC [calc, =MAX(CAPM, Floor)]</t>
  </si>
  <si>
    <t>Segment CRP Override (leer = Group-CRP)</t>
  </si>
  <si>
    <t>Growth-Reasoning (Review-Call-Audit)</t>
  </si>
  <si>
    <t>Baseline 3,5% CAGR unterstellte teilweise Normalisierung der US-Handelsbeziehungen plus MEA/Asien/Life-Sciences/New-Energy-Wachstum (TDI-Volumen 2025 zollbedingt -9,4%). Q-Befund H1 2026 (gemessen auffällig, +6,1pp ggü. Annahme, gewichtet +1,74pp): Revenue +9,6% reported, ex-FX/Fuel-Surcharge +6,0%; TDI-Tagesgewicht +3,7% ggü. Vorjahr - klare Volumen-Erholung aus dem 2025er Zoll-Trog, kein Einmaleffekt. year1-Blend: (6,0% fy_growth_implied + 3,5% Baseline-CAGR)/2 = 4,75%. revenue_growth neu =...</t>
  </si>
  <si>
    <t>Revenue 2025 -5,1% (ex-FX -3,4%), primär ratengetrieben (Luft-/Seefrachtraten fielen nach Abbau der Kapazitätsengpässe/Rotmeer-Prämie), Volumina fast stabil (Luftfracht -1,0%, Ocean TEU -1,2%). Da Umsatz strukturell an Frachtraten hängt (Pass-Through), ist 2025 ein zyklischer Raten-Trog, kein struktureller Rückgang. Nur 2 Jahre Segmentdaten, durch Ratenzyklus konfundiert -&gt; not_readable. Forward 2% CAGR unterstellt moderate Ratenerholung bei stabilen Volumina, konsistent mit globalem Handelsw...</t>
  </si>
  <si>
    <t>Revenue 2025 +0,5% berichtet (durch -€562 Mio FX-Effekt gedrückt), ex-FX organisch +3,7%, getragen von Life Sciences &amp; Healthcare und Engineering &amp; Manufacturing. Zusätzlich Neuvertragsabschlüsse mit Gesamtvolumen €7,5 Mrd. in 2025 (Order-Backlog-Signal, v.a. Retail/e-fulfilment, Consumer, Technology, Life Sciences) untermauern Forward-Wachstum über dem organischen Ist-Niveau. Nur 2 Jahre Historie (single_year_proxy) -&gt; kein harter Mehrjahres-Anker, Wachstum bottom-up aus ex-FX-Organik (3,7%)...</t>
  </si>
  <si>
    <t>Revenue 2025 -1,1% berichtet, ex-FX +1,0%; ab Q4 2025 kein UK-Beitrag mehr wegen Fusion mit Evri Group (Ende September 2025 vollzogen). Q4 2024 UK-Beitrag betrug ca. €209 Mio, d.h. FY2026 trägt die volle Jahres-UK-Lücke (FY2025 hatte noch ca. 9 Monate UK-Konsolidierung). Forward-CAGR konservativ 2%, das dokumentiertes grenzüberschreitendes B2C-Volumenwachstum mit dem UK-Entkonsolidierungs-Gegenwind in den ersten Prognosejahren ausgleicht. Nur 2 Jahre Historie, durch Portfolioänderung konfundi...</t>
  </si>
  <si>
    <t>Revenue 2025 +3,0% (17.874 vs 17.347), getragen von Parcel Germany +11,2% (Preiserhöhungen + Volumenwachstum) und International +1,9%, während Post Germany -3,8% (Mail Communication -5,7%, säkularer Rückgang, teils durch Preiserhöhung zum 1.1.2025 kompensiert). Struktureller Mix-Shift (schrumpfende Mail-Basis vs. wachsendes Paketgeschäft) bleibt bestehen -&gt; 'normal' (kein temporärer Zyklus, sondern struktureller Mix-Shift). Forward-CAGR 2,8% aus Fortschreibung des Mix-Effekts hergeleitet (Pos...</t>
  </si>
  <si>
    <t>Margin-Reasoning (Review-Call-Audit)</t>
  </si>
  <si>
    <t>Baseline Y1 12,9% (=FY2025 berichtete Marge, kein Addback), Y5 13,5%. Q-Befund H1 2026 (gemessen auffällig, +2,3pp ggü. Annahme): reported EBIT-Marge 15,2% (Q2 allein 16,8%, Q1 rechnerisch ca. 13,3%) - durchgängig steigender Trend über 3 Perioden: 12,3% (2024) -&gt; 12,9% (2025) -&gt; 15,2% (H1 2026). Bericht nennt explizit einen Kapazitätsauslastungs-Effekt (~+€150 Mio aus Luftfracht-Kapazitätsengpässen) zusätzlich zu strikter Kostendisziplin und effektivem Yield-Management. Kapazitätsengpass-Tail...</t>
  </si>
  <si>
    <t>Baseline Y1-Anchor 4,6% (=FY2025 reported 4,1% + Addback +0,45pp für explizit 'non-recurring' Restrukturierungsaufwand €84 Mio), Y5 6,0% (Override 'midcycle_floor', unverändert). Q-Befund (gemessen auffällig, 'unter Annahme', Base-Bedingung des Jahreslaufs verletzt): H1 2026 reported EBIT-Marge nur 4,0% (€404 Mio/€9.975 Mio) - sogar unter der bereits gedrückten Vorjahresvergleichsbasis H1 2025 (4,2%) -, trotz solidem Umsatzwachstum (+6,3% reported, +7,2% ex-FX; Luftfracht-Gross-Profit +19,7%,...</t>
  </si>
  <si>
    <t>Reported 2025 6,5% enthält kleinen positiven Sondereffekt +€32 Mio aus Konsolidierungskreisänderung (ASMO) -&gt; -0,18pp Addback, Run-Rate 6,3%. demonstrated_ebit_margin 6,1% = Schnitt 2024(6,0%)/bereinigtem 2025(6,3%), beide 'normal', steigender Trend durch Digitalisierung/Automatisierung/Standardisierung (explizit im Bericht als Treiber genannt). Y5 7,1% = +1,0pp über demonstriert, getragen von Skaleneffekten aus neu gewonnenen Verträgen und fortgesetzter Produktivitätssteigerung. [Kein Befund...</t>
  </si>
  <si>
    <t>Reported EBIT-Marge 2025 5,5% enthält positiven Sondereffekt netto +€129 Mio (Entkonsolidierungsgewinn Evri-Fusion +€209 Mio abzgl. Transaktionskosten, minus Restrukturierung -€30 Mio, minus Sonstiges -€49 Mio) -&gt; Addback -1,87pp (Gewinn wird abgezogen). Run-Rate 2025 = 3,63%. Y1 auf dieser Run-Rate verankert, NICHT auf den berichteten 5,5%. demonstrated_ebit_margin ≈3,8% (Schnitt 2024 4,0% / bereinigt 2025 3,63%). Y5 6,0% gestützt auf explizite CGU-Planungsaussage (Goodwill-Impairmenttest-No...</t>
  </si>
  <si>
    <t>Berichtete Marge 2025 5,8% enthält -€60 Mio Restrukturierungsaufwand, als wiederkehrend eingestuft (langjähriges Personalabbau-/Effizienzprogramm im strukturell schrumpfenden Postgeschäft) -&gt; NICHT herausgerechnet, Y1=5,8% wie berichtet. Vorjahr 2024 (4,7%) enthielt dagegen einen echten Einmalgewinn von +€70 Mio aus Beilegung diverser Rechtsstreitigkeiten (explizit 'non-recurring') -&gt; bereinigt ca. 4,3%. demonstrated_ebit_margin ≈5,2% (Schnitt bereinigtes 2024 und berichtetes 2025). Y5 6,0% =...</t>
  </si>
  <si>
    <t>Y1 Revenue</t>
  </si>
  <si>
    <t>Y2 Revenue</t>
  </si>
  <si>
    <t>Y3 Revenue</t>
  </si>
  <si>
    <t>Y4 Revenue</t>
  </si>
  <si>
    <t>Y5 Revenue</t>
  </si>
  <si>
    <t>Net Capex / Revenue Y5 (optional, Forward-Struktur)</t>
  </si>
  <si>
    <t>Y1 EBIT Margin</t>
  </si>
  <si>
    <t>Y2 EBIT Margin</t>
  </si>
  <si>
    <t>Y3 EBIT Margin</t>
  </si>
  <si>
    <t>Y4 EBIT Margin</t>
  </si>
  <si>
    <t>Y5 EBIT Margin</t>
  </si>
  <si>
    <t>Y1 EBIT</t>
  </si>
  <si>
    <t>Y2 EBIT</t>
  </si>
  <si>
    <t>Y3 EBIT</t>
  </si>
  <si>
    <t>Y4 EBIT</t>
  </si>
  <si>
    <t>Y5 EBIT</t>
  </si>
  <si>
    <t>Y1 NOPAT (after-tax)</t>
  </si>
  <si>
    <t>Y2 NOPAT</t>
  </si>
  <si>
    <t>Y3 NOPAT</t>
  </si>
  <si>
    <t>Y4 NOPAT</t>
  </si>
  <si>
    <t>Y5 NOPAT</t>
  </si>
  <si>
    <t>Y1 Net Capex</t>
  </si>
  <si>
    <t>Y2 Net Capex</t>
  </si>
  <si>
    <t>Y3 Net Capex</t>
  </si>
  <si>
    <t>Y4 Net Capex</t>
  </si>
  <si>
    <t>Y5 Net Capex</t>
  </si>
  <si>
    <t>Y1 FCF</t>
  </si>
  <si>
    <t>Y2 FCF</t>
  </si>
  <si>
    <t>Y3 FCF</t>
  </si>
  <si>
    <t>Y4 FCF</t>
  </si>
  <si>
    <t>Y5 FCF</t>
  </si>
  <si>
    <t>PV(FCF Y1)</t>
  </si>
  <si>
    <t>PV(FCF Y2)</t>
  </si>
  <si>
    <t>PV(FCF Y3)</t>
  </si>
  <si>
    <t>PV(FCF Y4)</t>
  </si>
  <si>
    <t>PV(FCF Y5)</t>
  </si>
  <si>
    <t>── Stage-2 Fade Period (Year 6-10) ──</t>
  </si>
  <si>
    <t>Y6 Revenue (Fade)</t>
  </si>
  <si>
    <t>Y7 Revenue (Fade)</t>
  </si>
  <si>
    <t>Y8 Revenue (Fade)</t>
  </si>
  <si>
    <t>Y9 Revenue (Fade)</t>
  </si>
  <si>
    <t>Y10 Revenue (Fade)</t>
  </si>
  <si>
    <t>Y6 EBIT Margin (flat Y5)</t>
  </si>
  <si>
    <t>Y7 EBIT Margin (flat Y5)</t>
  </si>
  <si>
    <t>Y8 EBIT Margin (flat Y5)</t>
  </si>
  <si>
    <t>Y9 EBIT Margin (flat Y5)</t>
  </si>
  <si>
    <t>Y10 EBIT Margin (flat Y5)</t>
  </si>
  <si>
    <t>Y6 EBIT</t>
  </si>
  <si>
    <t>Y7 EBIT</t>
  </si>
  <si>
    <t>Y8 EBIT</t>
  </si>
  <si>
    <t>Y9 EBIT</t>
  </si>
  <si>
    <t>Y10 EBIT</t>
  </si>
  <si>
    <t>Y6 NOPAT</t>
  </si>
  <si>
    <t>Y7 NOPAT</t>
  </si>
  <si>
    <t>Y8 NOPAT</t>
  </si>
  <si>
    <t>Y9 NOPAT</t>
  </si>
  <si>
    <t>Y10 NOPAT</t>
  </si>
  <si>
    <t>Y6 Net Capex</t>
  </si>
  <si>
    <t>Y7 Net Capex</t>
  </si>
  <si>
    <t>Y8 Net Capex</t>
  </si>
  <si>
    <t>Y9 Net Capex</t>
  </si>
  <si>
    <t>Y10 Net Capex</t>
  </si>
  <si>
    <t>Y6 FCF</t>
  </si>
  <si>
    <t>Y7 FCF</t>
  </si>
  <si>
    <t>Y8 FCF</t>
  </si>
  <si>
    <t>Y9 FCF</t>
  </si>
  <si>
    <t>Y10 FCF</t>
  </si>
  <si>
    <t>PV(FCF Y6)</t>
  </si>
  <si>
    <t>PV(FCF Y7)</t>
  </si>
  <si>
    <t>PV(FCF Y8)</t>
  </si>
  <si>
    <t>PV(FCF Y9)</t>
  </si>
  <si>
    <t>PV(FCF Y10)</t>
  </si>
  <si>
    <t>Terminal WACC [calc, β→1 für Fade+Gordon]</t>
  </si>
  <si>
    <t>Σ PV(FCF Y1-Y10)</t>
  </si>
  <si>
    <t>Terminal Value (Gordon, FCF Y10)</t>
  </si>
  <si>
    <t>PV(Terminal Value)</t>
  </si>
  <si>
    <t>Segment EV</t>
  </si>
  <si>
    <t>EV-weighted WACC (avg)</t>
  </si>
  <si>
    <t>− Net Debt (ex Töchter, ex CF-Funding)</t>
  </si>
  <si>
    <t>− Minority Interest (adj.)</t>
  </si>
  <si>
    <t>± Corp. Overhead (kap.)</t>
  </si>
  <si>
    <t>± Töchter (Σ Mutter-Anteile, Block Z.124 ff.)</t>
  </si>
  <si>
    <t>+ Captive Finance (P/B × Equity-BW)</t>
  </si>
  <si>
    <t>± Binary Adj (Netto)</t>
  </si>
  <si>
    <t>± Multiple-Gate Adj (Sektor-Ceiling)</t>
  </si>
  <si>
    <t>− Operating-Cash-Floor (nicht ausschüttbar)</t>
  </si>
  <si>
    <t>Σ Equity Value</t>
  </si>
  <si>
    <t>÷ Shares Outstanding</t>
  </si>
  <si>
    <t>- Pensionsunterdeckung / Hybridkapital (oben enthalten)</t>
  </si>
  <si>
    <t>Price Target (per Share)</t>
  </si>
  <si>
    <t>SOTP DCF [Bull] — Segment-Level Forecast + Group-Aggregation</t>
  </si>
  <si>
    <t>Bull: +2.0 pp US-Zollpolitik wird gelockert, TDI-Volumina erholen sich auf Vor-Zoll-Niveau, plus beschleunigtes Wachstum in Life Sciences &amp; New Energy: CAGR 5,5% statt 3,5%.; +0.5 pp Schwächerer Euro (USD/EUR Richtung 1,05) verbessert die Translationswirkung auf alle Auslandserlöse leicht positiv. [konzernweiter Treiber] | ewiges Wachstum +0.4 pp aus der Standard-Spreizung</t>
  </si>
  <si>
    <t>Bull: +0.5 pp Schwächerer Euro (USD/EUR Richtung 1,05) verbessert die Translationswirkung auf alle Auslandserlöse leicht positiv. [konzernweiter Treiber] | ewiges Wachstum +0.4 pp aus der Standard-Spreizung</t>
  </si>
  <si>
    <t>Bull: +2.0 pp Der €7,5 Mrd.-Auftragsbestand aus 2025 konvertiert schneller als geplant, Life-Sciences-Akquisitionen (CRYOPDP, SDS) skalieren: CAGR 6,5% statt 4,5%.; +0.5 pp Schwächerer Euro (USD/EUR Richtung 1,05) verbessert die Translationswirkung auf alle Auslandserlöse leicht positiv. [konzernweiter Treiber] | ewiges Wachstum +0.4 pp aus der Standard-Spreizung</t>
  </si>
  <si>
    <t>Bull: +2.0 pp Grenzüberschreitendes B2C-Volumen wächst stärker als erwartet (Asien/Indien/Saudi-Arabien E-Commerce-Boom), UK-Entkonsolidierungseffekt verpufft schneller: CAGR 4% statt 2%.; +0.5 pp Schwächerer Euro (USD/EUR Richtung 1,05) verbessert die Translationswirkung auf alle Auslandserlöse leicht positiv. [konzernweiter Treiber] | ewiges Wachstum +0.4 pp aus der Standard-Spreizung</t>
  </si>
  <si>
    <t>Bull: +1.0 pp Parcel-Germany-Wachstum hält zweistellig länger, Preiserhöhungen kompensieren Mail-Rückgang vollständig: CAGR 4% statt 2,8%.; +0.5 pp Schwächerer Euro (USD/EUR Richtung 1,05) verbessert die Translationswirkung auf alle Auslandserlöse leicht positiv. [konzernweiter Treiber] | ewiges Wachstum +0.4 pp aus der Standard-Spreizung</t>
  </si>
  <si>
    <t>Bull: +1.5 pp Bei ca. 60-70% Fixkostenanteil im globalen Luft-/Bodennetz hebt die Volumenerholung die Marge überproportional auf ~15%. | Marge Y1 +2.4 pp aus der Standard-Spreizung</t>
  </si>
  <si>
    <t>Bull: +2.4 pp aus der Standard-Spreizung (Beta 1.42, Netto-Schuld/EBITDA 1.1x, Korrelationsfaktor 0.80) — kein benannter Treiber, also keine eigene These fuer dieses Segment.</t>
  </si>
  <si>
    <t>Bull: +1.0 pp Schnellere Skalierung neu gewonnener Verträge bei fixkostenintensiven Lagernetzen hebt die Marge um weitere 1pp auf 8,1%. | Marge Y1 +2.4 pp aus der Standard-Spreizung</t>
  </si>
  <si>
    <t>Bull: +2.0 pp Steady-State wird früher erreicht (vor 2030), Netzwerkinvestitionen materialisieren sich schneller in EBIT: Marge 8% statt 6%. | Marge Y1 +2.4 pp aus der Standard-Spreizung</t>
  </si>
  <si>
    <t>Bull: +1.0 pp Stärkerer Parcel-Mix-Shift bei disziplinierter Kostenbasis hebt die Marge auf 7%. | Marge Y1 +2.4 pp aus der Standard-Spreizung</t>
  </si>
  <si>
    <t>SOTP DCF [Bear] — Segment-Level Forecast + Group-Aggregation</t>
  </si>
  <si>
    <t>Bear: -3.0 pp US-Zollpolitik verschärft sich weiter, TDI-Volumina bleiben dauerhaft unter Vor-2025-Niveau: CAGR nur 0,5%.; -1.0 pp Anhaltend starker Euro (USD/EUR &gt;1,20) wie 2025 (FX-Gegenwind €1,7 Mrd.) drückt alle Auslandserlöse in Euro-Berichtswährung weiter. [konzernweiter Treiber] | ewiges Wachstum -0.6 pp aus der Standard-Spreizung</t>
  </si>
  <si>
    <t>Bear: -1.0 pp Anhaltend starker Euro (USD/EUR &gt;1,20) wie 2025 (FX-Gegenwind €1,7 Mrd.) drückt alle Auslandserlöse in Euro-Berichtswährung weiter. [konzernweiter Treiber] | ewiges Wachstum -0.6 pp aus der Standard-Spreizung</t>
  </si>
  <si>
    <t>Bear: -2.0 pp Kundenzurückhaltung bei Neuverträgen setzt sich fort (wie temporär in 2025 beobachtet), Auto-mobility-Sektor bleibt schwach: CAGR nur 2,5%.; -1.0 pp Anhaltend starker Euro (USD/EUR &gt;1,20) wie 2025 (FX-Gegenwind €1,7 Mrd.) drückt alle Auslandserlöse in Euro-Berichtswährung weiter. [konzernweiter Treiber] | ewiges Wachstum -0.6 pp aus der Standard-Spreizung</t>
  </si>
  <si>
    <t>Bear: -3.0 pp UK-Entkonsolidierungslücke wiegt schwerer, schwächere europäische Konsumnachfrage dämpft Volumen: CAGR nur -1%.; -1.0 pp Anhaltend starker Euro (USD/EUR &gt;1,20) wie 2025 (FX-Gegenwind €1,7 Mrd.) drückt alle Auslandserlöse in Euro-Berichtswährung weiter. [konzernweiter Treiber] | ewiges Wachstum -0.6 pp aus der Standard-Spreizung</t>
  </si>
  <si>
    <t>Bear: -1.8 pp Briefmengenrückgang beschleunigt sich (Digitalisierung der Medienlandschaft), Parcel-Wachstum verlangsamt sich bei schwacher Konsumstimmung: CAGR nur 1%.; -1.0 pp Anhaltend starker Euro (USD/EUR &gt;1,20) wie 2025 (FX-Gegenwind €1,7 Mrd.) drückt alle Auslandserlöse in Euro-Berichtswährung weiter. [konzernweiter Treiber] | ewiges Wachstum -0.6 pp aus der Standard-Spreizung</t>
  </si>
  <si>
    <t>Bear: -2.0 pp Anhaltender Volumendruck bei hohem Fixkostenanteil im Luftnetz drückt die Marge dauerhaft auf ~11,5%. | Marge Y1 -2.4 pp aus der Standard-Spreizung</t>
  </si>
  <si>
    <t>Bear: -2.4 pp aus der Standard-Spreizung (Beta 1.42, Netto-Schuld/EBITDA 1.1x, Korrelationsfaktor 0.80) — kein benannter Treiber, also keine eigene These fuer dieses Segment.</t>
  </si>
  <si>
    <t>Bear: -1.0 pp Verzögerte Skalierung neuer Standorte/Verträge bei Personalkosteninflation hält die Marge bei 6,1% statt 7,1%. | Marge Y1 -2.4 pp aus der Standard-Spreizung</t>
  </si>
  <si>
    <t>Bear: -2.5 pp Steady-State wird über 2030 hinaus verzögert, Netzwerkinvestitionen amortisieren sich langsamer: Marge nur 3,5%. | Marge Y1 -2.4 pp aus der Standard-Spreizung</t>
  </si>
  <si>
    <t>Bear: -1.5 pp Fixkosten des Universaldienstes (Filialnetz, tägliche Zustellung) lassen sich bei schrumpfenden Briefmengen nicht proportional abbauen: Marge fällt auf 4,5%. | Marge Y1 -2.4 pp aus der Standard-Spreizung</t>
  </si>
  <si>
    <t>SOTP — Binary Adjustments (Post-DCF)</t>
  </si>
  <si>
    <t>Einmal-Ereignisse: Litigation, M&amp;A, Restrukturierungen. Litigation IMMER negativ (Litigation-Sign-Lock). Netto = EV-Impact × Probability.</t>
  </si>
  <si>
    <t>Writer befüllt aus analysis.binary_adjustments.</t>
  </si>
  <si>
    <t>Name</t>
  </si>
  <si>
    <t>EV-Impact (Mio.)</t>
  </si>
  <si>
    <t>Probability</t>
  </si>
  <si>
    <t>Netto-EV (Mio.)</t>
  </si>
  <si>
    <t>Beschreibung / Evidenz</t>
  </si>
  <si>
    <t>Netto gesamt (Mio.)</t>
  </si>
  <si>
    <t>Netto pro Aktie</t>
  </si>
  <si>
    <t>SOTP — Bull/Base/Bear-Szenarien</t>
  </si>
  <si>
    <t>Pro Case ein eigenständiges DCF-Sheet (DCF Bull/Base/Bear). Die Group-PTs unten referenzieren diese Sheets LIVE — jeder Case ist segment-genau nachrechenbar.</t>
  </si>
  <si>
    <t>── Segment-Annahmen (pro Case) ──</t>
  </si>
  <si>
    <t>Segment</t>
  </si>
  <si>
    <t>CAGR Bull</t>
  </si>
  <si>
    <t>CAGR Base</t>
  </si>
  <si>
    <t>CAGR Bear</t>
  </si>
  <si>
    <t>Marge Y1 Bull</t>
  </si>
  <si>
    <t>Marge Y1 Base</t>
  </si>
  <si>
    <t>Marge Y1 Bear</t>
  </si>
  <si>
    <t>TG Bull</t>
  </si>
  <si>
    <t>TG Base</t>
  </si>
  <si>
    <t>TG Bear</t>
  </si>
  <si>
    <t>β_lev</t>
  </si>
  <si>
    <t>Δ Marge (pp)</t>
  </si>
  <si>
    <t>── Group Kursziele (live aus DCF-Sheets) ──</t>
  </si>
  <si>
    <t>Szenario</t>
  </si>
  <si>
    <t>PT roh (€/Aktie)</t>
  </si>
  <si>
    <t>Wahrscheinlichkeit</t>
  </si>
  <si>
    <t>Quelle</t>
  </si>
  <si>
    <t>PT nach Floor (≥0)</t>
  </si>
  <si>
    <t>Bull</t>
  </si>
  <si>
    <t>'DCF Bull'!K122</t>
  </si>
  <si>
    <t>Base</t>
  </si>
  <si>
    <t>'DCF Base'!K122</t>
  </si>
  <si>
    <t>Bear</t>
  </si>
  <si>
    <t>'DCF Bear'!K122</t>
  </si>
  <si>
    <t>#0a: Cases fließen ROH in die Gewichtung (Spalte B — ein negativer Bear trägt sein Downside); Floor (≥0) nur auf dem Aggregat. Spalte E = Anzeige je realisiertem Case.</t>
  </si>
  <si>
    <t>Gewichtetes Kursziel (Headline)</t>
  </si>
  <si>
    <t>Rohwert (vor 0-Floor):</t>
  </si>
  <si>
    <t>Sentiment (Wahrscheinlichkeits-Quelle)</t>
  </si>
  <si>
    <t>positive</t>
  </si>
  <si>
    <t>Markt-implizit — Was muss passieren, damit der Kurs fair value ist?</t>
  </si>
  <si>
    <t>REIN ERKLÄREND, keine Bewertung. Kalibrierter Group-DCF: Base = Headline-PT (exakt), jede Hebel-Spalte = Marktpreis (exakt). Vereinfachte Group-Sicht; volle Segment-Granularität in den DCF-Sheets.</t>
  </si>
  <si>
    <t>Aktueller Kurs (Markt)</t>
  </si>
  <si>
    <t>Intrinsisch (Headline-PT)</t>
  </si>
  <si>
    <t>Divergenz (intrinsisch vs Markt)</t>
  </si>
  <si>
    <t>Note-Absatz (|Divergenz| &gt; 25%)</t>
  </si>
  <si>
    <t>nein — Note bleibt still (Hebel unten trotzdem gerechnet)</t>
  </si>
  <si>
    <t>Hebel erreichbar?</t>
  </si>
  <si>
    <t>ja</t>
  </si>
  <si>
    <t>Impl. CAGR</t>
  </si>
  <si>
    <t>Impl. Marge</t>
  </si>
  <si>
    <t>Impl. WACC</t>
  </si>
  <si>
    <t>Group-Revenue Y0 (Mio.)</t>
  </si>
  <si>
    <t>Revenue-CAGR</t>
  </si>
  <si>
    <t>EBIT-Marge Y1</t>
  </si>
  <si>
    <t>Terminal-Marge (Y5)</t>
  </si>
  <si>
    <t>Net-Capex / Revenue</t>
  </si>
  <si>
    <t>WACC (Diskontierung)</t>
  </si>
  <si>
    <t>Steuersatz</t>
  </si>
  <si>
    <t>+ Aggregations-Bridge (Mio.)</t>
  </si>
  <si>
    <t>+ Bilanz/Overhead/CF/Binary/Szen. (Mio.)</t>
  </si>
  <si>
    <t>Aktien (Mio.)</t>
  </si>
  <si>
    <t>Revenue Y1</t>
  </si>
  <si>
    <t>Revenue Y2</t>
  </si>
  <si>
    <t>Revenue Y3</t>
  </si>
  <si>
    <t>Revenue Y4</t>
  </si>
  <si>
    <t>Revenue Y5</t>
  </si>
  <si>
    <t>Revenue Y6</t>
  </si>
  <si>
    <t>Revenue Y7</t>
  </si>
  <si>
    <t>Revenue Y8</t>
  </si>
  <si>
    <t>Revenue Y9</t>
  </si>
  <si>
    <t>Revenue Y10</t>
  </si>
  <si>
    <t>FCF Y1</t>
  </si>
  <si>
    <t>FCF Y2</t>
  </si>
  <si>
    <t>FCF Y3</t>
  </si>
  <si>
    <t>FCF Y4</t>
  </si>
  <si>
    <t>FCF Y5</t>
  </si>
  <si>
    <t>FCF Y6</t>
  </si>
  <si>
    <t>FCF Y7</t>
  </si>
  <si>
    <t>FCF Y8</t>
  </si>
  <si>
    <t>FCF Y9</t>
  </si>
  <si>
    <t>FCF Y10</t>
  </si>
  <si>
    <t>Group-DCF-EV</t>
  </si>
  <si>
    <t>Equity (EV + Bridges)</t>
  </si>
  <si>
    <t>Kursziel / Aktie</t>
  </si>
  <si>
    <t>PT − Ziel (Base=Headline, Hebel=Markt ⇒ ≈0)</t>
  </si>
  <si>
    <t>── Handels-Multiples (Yahoo Finance) — Kontext, KEINE Bewertung ──</t>
  </si>
  <si>
    <t>EV/Sales (primär — SBC-agnostisch)</t>
  </si>
  <si>
    <t>EV/EBITDA (nachrichtl., SBC-verzerrt)</t>
  </si>
  <si>
    <t>KGV trailing (nachrichtl., SBC-verzerrt)</t>
  </si>
  <si>
    <t>KGV forward</t>
  </si>
  <si>
    <t>Kurs/Buchwert</t>
  </si>
  <si>
    <t>EV/Sales-Historie (~5J, indikativ; split-bereinigt)</t>
  </si>
  <si>
    <t>Jahr</t>
  </si>
  <si>
    <t>EV/Sales</t>
  </si>
  <si>
    <t>── EV/EBITDA: Markt heute vs unser Kursziel vs 5J-Eigenhistorie — deskriptiv, KEIN Kursziel ──</t>
  </si>
  <si>
    <t>EV am Marktpreis (Group, Mio.)</t>
  </si>
  <si>
    <t>EV an unserem Kursziel (Group, Mio.)</t>
  </si>
  <si>
    <t>Group-EBITDA trailing (Mio.)</t>
  </si>
  <si>
    <t>Group-EBITDA t+1 (unsere Y1-Schätzung, Mio.)</t>
  </si>
  <si>
    <t>EV/EBITDA — Markt heute (trailing)</t>
  </si>
  <si>
    <t>EV/EBITDA — unser Kursziel (trailing)</t>
  </si>
  <si>
    <t>EV/EBITDA — Markt heute (t+1)</t>
  </si>
  <si>
    <t>EV/EBITDA — unser Kursziel (t+1)</t>
  </si>
  <si>
    <t>Eigene 5J-EV/EBITDA-Spanne (indikativ) — Anker für die Einordnung</t>
  </si>
  <si>
    <t>5J Minimum</t>
  </si>
  <si>
    <t>5J Median</t>
  </si>
  <si>
    <t>5J Maximum</t>
  </si>
  <si>
    <t>Markt vs unsere Annahmen</t>
  </si>
  <si>
    <t>Markt ≈ unsere Annahmen</t>
  </si>
  <si>
    <t>Einordnung</t>
  </si>
  <si>
    <t>Der Markt zahlt heute rund 10.2x EV/EBITDA (trailing). Unser Kursziel entspricht rund 10.9x auf dem heutigen EBITDA (gleiche Basis, direkt mit der eigenen Historie vergleichbar). Das Markt-Niveau liegt im oberen Bereich der eigenen 5J-Spanne (5.5x bis 6.8x). Markt und unser Kursziel implizieren ein nahezu gleiches Multiple. Achtung: das trailing Multiple ist durch ein gedrücktes EBITDA-Jahr (Trog) rechnerisch überhöht, nicht durch einen Bewertungsaufschlag. Auf unserer Ergebnisschätzung für das kommende Jahr (t+1) entspricht das Kursziel rund 8.3x, der Markt 7.8x (anderer Nenner, nicht mit der Historie vergleichbar). Die Peer-Gruppe handelt bei 9.0–16.2x (Median 13.3x, trailing).</t>
  </si>
  <si>
    <t>── Peer-Gruppe: β-Herleitung (3J-Regression, Blume, unlevered) + Multiples-Band — deskriptiv ──</t>
  </si>
  <si>
    <t>β unlevered — Peer-Median (im WACC verwendet)</t>
  </si>
  <si>
    <t>Peer EV/EBITDA min / median / max (trailing)</t>
  </si>
  <si>
    <t>Peer</t>
  </si>
  <si>
    <t>β unlev</t>
  </si>
  <si>
    <t>β lev</t>
  </si>
  <si>
    <t>D/E (Markt)</t>
  </si>
  <si>
    <t>EV/EBITDA</t>
  </si>
  <si>
    <t>FDX</t>
  </si>
  <si>
    <t>UPS</t>
  </si>
  <si>
    <t>SAIA</t>
  </si>
  <si>
    <t>KNX</t>
  </si>
  <si>
    <t>JBHT</t>
  </si>
  <si>
    <t>Named-Range Targets (für sotp_valuation.py)</t>
  </si>
  <si>
    <t>Diese Sheet ist nur ein Index — die echten Werte stehen in Inputs/DCF.</t>
  </si>
  <si>
    <t>OUT_WACC (EV-weighted avg)</t>
  </si>
  <si>
    <t>'DCF Base'!K110</t>
  </si>
  <si>
    <t>OUT_NET_DEBT</t>
  </si>
  <si>
    <t>Inputs!B14</t>
  </si>
  <si>
    <t>OUT_MINORITY</t>
  </si>
  <si>
    <t>Inputs!B15</t>
  </si>
  <si>
    <t>OUT_SHARES</t>
  </si>
  <si>
    <t>Inputs!B11</t>
  </si>
  <si>
    <t>OUT_GROUP_EV</t>
  </si>
  <si>
    <t>'DCF Base'!K109</t>
  </si>
  <si>
    <t>OUT_EQUITY</t>
  </si>
  <si>
    <t>'DCF Base'!K119</t>
  </si>
  <si>
    <t>OUT_PRICE_TARGET</t>
  </si>
  <si>
    <t>OUT_SEG_EV_i</t>
  </si>
  <si>
    <t>'DCF Base'!C..J109 (i=1..8)</t>
  </si>
  <si>
    <t>OUT_SEG_WACC_i</t>
  </si>
  <si>
    <t>'DCF Base'!C..J16 (i=1..8)</t>
  </si>
  <si>
    <t>— Szenario-PTs —</t>
  </si>
  <si>
    <t>(Szenarien-Sheet, live ref auf je DCF-Sheet)</t>
  </si>
  <si>
    <t>DCF Bull → PT</t>
  </si>
  <si>
    <t>DCF Base → PT</t>
  </si>
  <si>
    <t>DCF Bear →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</si>
</sst>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&quot;x&quot;"/>
    <numFmt numFmtId="166" formatCode="0.00&quot;x&quot;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color rgb="FF666666"/>
      <name val="Calibri"/>
    </font>
    <font>
      <b/>
      <sz val="11"/>
      <name val="Calibri"/>
    </font>
    <font>
      <i/>
      <sz val="11"/>
      <color rgb="FF886600"/>
      <name val="Calibri"/>
    </font>
    <font>
      <i/>
      <sz val="11"/>
      <color rgb="FFCC5500"/>
      <name val="Calibri"/>
    </font>
    <font>
      <i/>
      <sz val="9"/>
      <name val="Calibri"/>
    </font>
    <font>
      <b/>
      <sz val="12"/>
      <color rgb="FF0B5C2E"/>
      <name val="Calibri"/>
    </font>
    <font>
      <b/>
      <sz val="13"/>
      <name val="Calibri"/>
    </font>
    <font>
      <b/>
      <sz val="12"/>
      <name val="Calibri"/>
    </font>
    <font>
      <b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2A0"/>
      </patternFill>
    </fill>
    <fill>
      <patternFill patternType="solid">
        <fgColor rgb="FFDCE6F2"/>
      </patternFill>
    </fill>
    <fill>
      <patternFill patternType="solid">
        <fgColor rgb="FFC8E6C9"/>
      </patternFill>
    </fill>
    <fill>
      <patternFill patternType="solid">
        <fgColor rgb="FFFFE0B2"/>
      </patternFill>
    </fill>
    <fill>
      <patternFill patternType="solid">
        <fgColor rgb="FFFFF2A0"/>
      </patternFill>
    </fill>
    <fill>
      <patternFill patternType="solid">
        <fgColor rgb="FFDCE6F2"/>
      </patternFill>
    </fill>
    <fill>
      <patternFill patternType="solid">
        <fgColor rgb="FFE1BEE7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4" fontId="0" fillId="3" borderId="1" xfId="0" applyNumberFormat="1" applyFill="1" applyBorder="1"/>
    <xf numFmtId="4" fontId="0" fillId="4" borderId="1" xfId="0" applyNumberFormat="1" applyFill="1" applyBorder="1"/>
    <xf numFmtId="10" fontId="0" fillId="3" borderId="1" xfId="0" applyNumberFormat="1" applyFill="1" applyBorder="1"/>
    <xf numFmtId="0" fontId="2" fillId="2" borderId="0" xfId="0" applyFont="1" applyFill="1"/>
    <xf numFmtId="2" fontId="0" fillId="3" borderId="1" xfId="0" applyNumberFormat="1" applyFill="1" applyBorder="1"/>
    <xf numFmtId="2" fontId="0" fillId="4" borderId="1" xfId="0" applyNumberFormat="1" applyFill="1" applyBorder="1"/>
    <xf numFmtId="10" fontId="0" fillId="4" borderId="1" xfId="0" applyNumberFormat="1" applyFill="1" applyBorder="1"/>
    <xf numFmtId="10" fontId="3" fillId="5" borderId="1" xfId="0" applyNumberFormat="1" applyFont="1" applyFill="1" applyBorder="1"/>
    <xf numFmtId="0" fontId="3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10" fontId="0" fillId="2" borderId="1" xfId="0" applyNumberFormat="1" applyFill="1" applyBorder="1"/>
    <xf numFmtId="0" fontId="4" fillId="0" borderId="0" xfId="0" applyFont="1"/>
    <xf numFmtId="0" fontId="5" fillId="0" borderId="0" xfId="0" applyFont="1"/>
    <xf numFmtId="0" fontId="6" fillId="6" borderId="1" xfId="0" applyFont="1" applyFill="1" applyBorder="1" applyAlignment="1">
      <alignment horizontal="left" vertical="top" wrapText="1"/>
    </xf>
    <xf numFmtId="0" fontId="3" fillId="5" borderId="0" xfId="0" applyFont="1" applyFill="1"/>
    <xf numFmtId="4" fontId="3" fillId="5" borderId="1" xfId="0" applyNumberFormat="1" applyFont="1" applyFill="1" applyBorder="1"/>
    <xf numFmtId="4" fontId="0" fillId="0" borderId="1" xfId="0" applyNumberFormat="1" applyBorder="1"/>
    <xf numFmtId="4" fontId="7" fillId="5" borderId="1" xfId="0" applyNumberFormat="1" applyFont="1" applyFill="1" applyBorder="1"/>
    <xf numFmtId="0" fontId="3" fillId="2" borderId="1" xfId="0" applyFon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vertical="top" wrapText="1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0" fontId="8" fillId="0" borderId="0" xfId="0" applyFont="1"/>
    <xf numFmtId="164" fontId="0" fillId="4" borderId="1" xfId="0" applyNumberFormat="1" applyFill="1" applyBorder="1"/>
    <xf numFmtId="0" fontId="0" fillId="4" borderId="0" xfId="0" applyFill="1"/>
    <xf numFmtId="0" fontId="3" fillId="2" borderId="0" xfId="0" applyFont="1" applyFill="1"/>
    <xf numFmtId="4" fontId="0" fillId="5" borderId="1" xfId="0" applyNumberFormat="1" applyFill="1" applyBorder="1"/>
    <xf numFmtId="165" fontId="0" fillId="5" borderId="1" xfId="0" applyNumberFormat="1" applyFill="1" applyBorder="1"/>
    <xf numFmtId="0" fontId="9" fillId="0" borderId="0" xfId="0" applyFont="1"/>
    <xf numFmtId="0" fontId="10" fillId="0" borderId="2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0" fontId="0" fillId="8" borderId="2" xfId="0" applyFill="1" applyBorder="1"/>
    <xf numFmtId="4" fontId="0" fillId="3" borderId="2" xfId="0" applyNumberFormat="1" applyFill="1" applyBorder="1"/>
    <xf numFmtId="0" fontId="0" fillId="4" borderId="2" xfId="0" applyFill="1" applyBorder="1"/>
    <xf numFmtId="3" fontId="0" fillId="3" borderId="2" xfId="0" applyNumberFormat="1" applyFill="1" applyBorder="1"/>
    <xf numFmtId="10" fontId="0" fillId="3" borderId="2" xfId="0" applyNumberFormat="1" applyFill="1" applyBorder="1"/>
    <xf numFmtId="10" fontId="0" fillId="7" borderId="2" xfId="0" applyNumberFormat="1" applyFill="1" applyBorder="1"/>
    <xf numFmtId="166" fontId="0" fillId="4" borderId="2" xfId="0" applyNumberFormat="1" applyFill="1" applyBorder="1"/>
    <xf numFmtId="165" fontId="0" fillId="4" borderId="2" xfId="0" applyNumberFormat="1" applyFill="1" applyBorder="1"/>
    <xf numFmtId="167" fontId="0" fillId="4" borderId="2" xfId="0" applyNumberFormat="1" applyFill="1" applyBorder="1"/>
    <xf numFmtId="0" fontId="0" fillId="0" borderId="2" xfId="0" applyBorder="1"/>
    <xf numFmtId="166" fontId="0" fillId="0" borderId="2" xfId="0" applyNumberFormat="1" applyBorder="1"/>
    <xf numFmtId="3" fontId="0" fillId="4" borderId="2" xfId="0" applyNumberFormat="1" applyFill="1" applyBorder="1"/>
    <xf numFmtId="0" fontId="0" fillId="5" borderId="2" xfId="0" applyFill="1" applyBorder="1"/>
    <xf numFmtId="2" fontId="0" fillId="5" borderId="2" xfId="0" applyNumberFormat="1" applyFill="1" applyBorder="1"/>
    <xf numFmtId="2" fontId="0" fillId="0" borderId="2" xfId="0" applyNumberFormat="1" applyBorder="1"/>
    <xf numFmtId="165" fontId="0" fillId="0" borderId="2" xfId="0" applyNumberFormat="1" applyBorder="1"/>
    <xf numFmtId="4" fontId="0" fillId="9" borderId="1" xfId="0" applyNumberFormat="1" applyFill="1" applyBorder="1"/>
    <xf numFmtId="10" fontId="0" fillId="9" borderId="1" xfId="0" applyNumberForma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/>
  </sheetViews>
  <sheetFormatPr baseColWidth="10" defaultColWidth="9.140625" defaultRowHeight="15" x14ac:dyDescent="0.25"/>
  <cols>
    <col min="1" max="1" width="32" customWidth="1"/>
    <col min="2" max="2" width="18" customWidth="1"/>
    <col min="3" max="3" width="60" customWidth="1"/>
  </cols>
  <sheetData>
    <row r="1" spans="1:2" ht="18.75" customHeight="1" x14ac:dyDescent="0.3">
      <c r="A1" s="1" t="s">
        <v>0</v>
      </c>
    </row>
    <row r="2" spans="1:2" x14ac:dyDescent="0.25">
      <c r="A2" s="2" t="s">
        <v>1</v>
      </c>
    </row>
    <row r="4" spans="1:2" x14ac:dyDescent="0.25">
      <c r="A4" s="3" t="s">
        <v>2</v>
      </c>
    </row>
    <row r="5" spans="1:2" x14ac:dyDescent="0.25">
      <c r="A5" s="4" t="s">
        <v>3</v>
      </c>
      <c r="B5" t="s">
        <v>4</v>
      </c>
    </row>
    <row r="6" spans="1:2" x14ac:dyDescent="0.25">
      <c r="A6" s="4" t="s">
        <v>5</v>
      </c>
      <c r="B6" t="s">
        <v>6</v>
      </c>
    </row>
    <row r="7" spans="1:2" x14ac:dyDescent="0.25">
      <c r="A7" s="4" t="s">
        <v>7</v>
      </c>
      <c r="B7" t="s">
        <v>8</v>
      </c>
    </row>
    <row r="8" spans="1:2" x14ac:dyDescent="0.25">
      <c r="A8" s="4" t="s">
        <v>9</v>
      </c>
      <c r="B8" t="s">
        <v>10</v>
      </c>
    </row>
    <row r="10" spans="1:2" x14ac:dyDescent="0.25">
      <c r="A10" s="3" t="s">
        <v>11</v>
      </c>
    </row>
    <row r="11" spans="1:2" x14ac:dyDescent="0.25">
      <c r="A11" s="4" t="s">
        <v>12</v>
      </c>
      <c r="B11" s="5">
        <v>1150</v>
      </c>
    </row>
    <row r="12" spans="1:2" x14ac:dyDescent="0.25">
      <c r="A12" s="4" t="s">
        <v>13</v>
      </c>
      <c r="B12" s="5">
        <v>5342</v>
      </c>
    </row>
    <row r="13" spans="1:2" x14ac:dyDescent="0.25">
      <c r="A13" s="4" t="s">
        <v>14</v>
      </c>
      <c r="B13" s="56">
        <v>12865</v>
      </c>
    </row>
    <row r="14" spans="1:2" x14ac:dyDescent="0.25">
      <c r="A14" s="4" t="s">
        <v>15</v>
      </c>
      <c r="B14" s="6">
        <f>B13-B12</f>
        <v>7523</v>
      </c>
    </row>
    <row r="15" spans="1:2" x14ac:dyDescent="0.25">
      <c r="A15" s="4" t="s">
        <v>16</v>
      </c>
      <c r="B15" s="5">
        <v>396</v>
      </c>
    </row>
    <row r="17" spans="1:3" x14ac:dyDescent="0.25">
      <c r="A17" s="3" t="s">
        <v>17</v>
      </c>
      <c r="C17" s="2" t="s">
        <v>18</v>
      </c>
    </row>
    <row r="18" spans="1:3" x14ac:dyDescent="0.25">
      <c r="A18" s="4" t="s">
        <v>19</v>
      </c>
      <c r="B18" s="7">
        <v>2.5000000000000001E-2</v>
      </c>
      <c r="C18" s="8" t="s">
        <v>20</v>
      </c>
    </row>
    <row r="19" spans="1:3" x14ac:dyDescent="0.25">
      <c r="A19" s="4" t="s">
        <v>21</v>
      </c>
      <c r="B19" s="7">
        <v>5.4774999999999997E-2</v>
      </c>
      <c r="C19" s="8" t="s">
        <v>22</v>
      </c>
    </row>
    <row r="20" spans="1:3" x14ac:dyDescent="0.25">
      <c r="A20" s="4" t="s">
        <v>23</v>
      </c>
      <c r="B20" s="9">
        <v>1.0209999999999999</v>
      </c>
      <c r="C20" s="8" t="s">
        <v>24</v>
      </c>
    </row>
    <row r="21" spans="1:3" x14ac:dyDescent="0.25">
      <c r="A21" s="4" t="s">
        <v>25</v>
      </c>
      <c r="B21" s="9">
        <v>0.55000000000000004</v>
      </c>
      <c r="C21" s="8" t="s">
        <v>26</v>
      </c>
    </row>
    <row r="22" spans="1:3" x14ac:dyDescent="0.25">
      <c r="A22" s="4" t="s">
        <v>27</v>
      </c>
      <c r="B22" s="7">
        <v>0.29299999999999998</v>
      </c>
      <c r="C22" s="8" t="s">
        <v>28</v>
      </c>
    </row>
    <row r="23" spans="1:3" x14ac:dyDescent="0.25">
      <c r="A23" s="4" t="s">
        <v>29</v>
      </c>
      <c r="B23" s="10">
        <f>(1-0.33)*(B20*(1+(1-B22)*B21))+0.33</f>
        <v>1.2800706194999998</v>
      </c>
    </row>
    <row r="24" spans="1:3" x14ac:dyDescent="0.25">
      <c r="A24" s="4" t="s">
        <v>30</v>
      </c>
      <c r="B24" s="7">
        <v>2E-3</v>
      </c>
      <c r="C24" s="8" t="s">
        <v>31</v>
      </c>
    </row>
    <row r="25" spans="1:3" x14ac:dyDescent="0.25">
      <c r="A25" s="4" t="s">
        <v>32</v>
      </c>
      <c r="B25" s="7">
        <v>0</v>
      </c>
      <c r="C25" s="8" t="s">
        <v>33</v>
      </c>
    </row>
    <row r="26" spans="1:3" x14ac:dyDescent="0.25">
      <c r="A26" s="4" t="s">
        <v>34</v>
      </c>
      <c r="B26" s="11">
        <f>MAX(B18+B23*B19+B24+B25+B39,MIN(B27,0.08)+0.025)</f>
        <v>9.7115868183112491E-2</v>
      </c>
    </row>
    <row r="27" spans="1:3" x14ac:dyDescent="0.25">
      <c r="A27" s="4" t="s">
        <v>35</v>
      </c>
      <c r="B27" s="7">
        <v>3.5000000000000003E-2</v>
      </c>
      <c r="C27" s="8" t="s">
        <v>36</v>
      </c>
    </row>
    <row r="28" spans="1:3" x14ac:dyDescent="0.25">
      <c r="A28" s="4" t="s">
        <v>37</v>
      </c>
      <c r="B28" s="11">
        <f>B27*(1-B22)</f>
        <v>2.4745000000000007E-2</v>
      </c>
    </row>
    <row r="29" spans="1:3" x14ac:dyDescent="0.25">
      <c r="A29" s="4" t="s">
        <v>38</v>
      </c>
      <c r="B29" s="11">
        <f>1/(1+B21)</f>
        <v>0.64516129032258063</v>
      </c>
    </row>
    <row r="30" spans="1:3" x14ac:dyDescent="0.25">
      <c r="A30" s="4" t="s">
        <v>39</v>
      </c>
      <c r="B30" s="11">
        <f>B21/(1+B21)</f>
        <v>0.35483870967741937</v>
      </c>
    </row>
    <row r="31" spans="1:3" x14ac:dyDescent="0.25">
      <c r="A31" s="4" t="s">
        <v>40</v>
      </c>
      <c r="B31" s="12">
        <f>MAX(B26*B29+B28*B30,B35)</f>
        <v>7.143588269878226E-2</v>
      </c>
    </row>
    <row r="32" spans="1:3" x14ac:dyDescent="0.25">
      <c r="A32" s="3" t="s">
        <v>41</v>
      </c>
    </row>
    <row r="33" spans="1:3" x14ac:dyDescent="0.25">
      <c r="A33" s="4" t="s">
        <v>42</v>
      </c>
      <c r="B33" s="7">
        <v>0.02</v>
      </c>
    </row>
    <row r="34" spans="1:3" x14ac:dyDescent="0.25">
      <c r="A34" s="4" t="s">
        <v>43</v>
      </c>
      <c r="B34" s="7">
        <v>0.01</v>
      </c>
    </row>
    <row r="35" spans="1:3" x14ac:dyDescent="0.25">
      <c r="A35" s="4" t="s">
        <v>44</v>
      </c>
      <c r="B35" s="7">
        <v>0</v>
      </c>
      <c r="C35" s="8" t="s">
        <v>45</v>
      </c>
    </row>
    <row r="36" spans="1:3" x14ac:dyDescent="0.25">
      <c r="A36" s="4" t="s">
        <v>46</v>
      </c>
      <c r="B36" s="7">
        <v>0.35483870967741937</v>
      </c>
      <c r="C36" s="8" t="s">
        <v>47</v>
      </c>
    </row>
    <row r="37" spans="1:3" x14ac:dyDescent="0.25">
      <c r="A37" s="4" t="s">
        <v>48</v>
      </c>
      <c r="B37" s="11">
        <f>B18+0.008+0.02*B36</f>
        <v>4.0096774193548387E-2</v>
      </c>
      <c r="C37" s="8" t="s">
        <v>49</v>
      </c>
    </row>
    <row r="38" spans="1:3" x14ac:dyDescent="0.25">
      <c r="A38" s="4" t="s">
        <v>50</v>
      </c>
      <c r="B38" s="11">
        <f>B37*(1-B22)</f>
        <v>2.8348419354838714E-2</v>
      </c>
    </row>
    <row r="39" spans="1:3" x14ac:dyDescent="0.25">
      <c r="A39" s="4" t="s">
        <v>51</v>
      </c>
      <c r="B39" s="7">
        <v>0</v>
      </c>
      <c r="C39" s="8" t="s">
        <v>52</v>
      </c>
    </row>
    <row r="41" spans="1:3" x14ac:dyDescent="0.25">
      <c r="B41">
        <v>1384</v>
      </c>
      <c r="C41" t="s">
        <v>53</v>
      </c>
    </row>
    <row r="42" spans="1:3" x14ac:dyDescent="0.25">
      <c r="B42">
        <v>0</v>
      </c>
      <c r="C42" t="s">
        <v>54</v>
      </c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2"/>
  <sheetViews>
    <sheetView workbookViewId="0"/>
  </sheetViews>
  <sheetFormatPr baseColWidth="10" defaultColWidth="9.140625" defaultRowHeight="15" x14ac:dyDescent="0.25"/>
  <cols>
    <col min="1" max="1" width="30" customWidth="1"/>
    <col min="2" max="2" width="4" customWidth="1"/>
    <col min="3" max="11" width="14" customWidth="1"/>
  </cols>
  <sheetData>
    <row r="1" spans="1:11" ht="18.75" customHeight="1" x14ac:dyDescent="0.3">
      <c r="A1" s="1" t="s">
        <v>55</v>
      </c>
    </row>
    <row r="2" spans="1:11" x14ac:dyDescent="0.25">
      <c r="A2" s="2" t="s">
        <v>56</v>
      </c>
    </row>
    <row r="3" spans="1:11" x14ac:dyDescent="0.25">
      <c r="C3" s="13" t="s">
        <v>57</v>
      </c>
      <c r="D3" s="13" t="s">
        <v>58</v>
      </c>
      <c r="E3" s="13" t="s">
        <v>59</v>
      </c>
      <c r="F3" s="13" t="s">
        <v>60</v>
      </c>
      <c r="G3" s="13" t="s">
        <v>61</v>
      </c>
      <c r="H3" s="13" t="s">
        <v>62</v>
      </c>
      <c r="I3" s="13" t="s">
        <v>63</v>
      </c>
      <c r="J3" s="13" t="s">
        <v>64</v>
      </c>
      <c r="K3" s="13" t="s">
        <v>65</v>
      </c>
    </row>
    <row r="4" spans="1:11" x14ac:dyDescent="0.25">
      <c r="A4" s="4" t="s">
        <v>66</v>
      </c>
      <c r="C4" s="14" t="s">
        <v>57</v>
      </c>
      <c r="D4" s="14" t="s">
        <v>58</v>
      </c>
      <c r="E4" s="14" t="s">
        <v>59</v>
      </c>
      <c r="F4" s="14" t="s">
        <v>60</v>
      </c>
      <c r="G4" s="14" t="s">
        <v>61</v>
      </c>
      <c r="H4" s="14"/>
      <c r="I4" s="14"/>
      <c r="J4" s="14"/>
    </row>
    <row r="5" spans="1:11" x14ac:dyDescent="0.25">
      <c r="A5" s="4" t="s">
        <v>67</v>
      </c>
      <c r="C5" s="5">
        <v>24430</v>
      </c>
      <c r="D5" s="5">
        <v>18643</v>
      </c>
      <c r="E5" s="5">
        <v>17778</v>
      </c>
      <c r="F5" s="5">
        <v>6884</v>
      </c>
      <c r="G5" s="5">
        <v>17874</v>
      </c>
      <c r="H5" s="5"/>
      <c r="I5" s="5"/>
      <c r="J5" s="5"/>
    </row>
    <row r="6" spans="1:11" x14ac:dyDescent="0.25">
      <c r="A6" s="4" t="s">
        <v>68</v>
      </c>
      <c r="C6" s="57">
        <v>4.7500000000000001E-2</v>
      </c>
      <c r="D6" s="7">
        <v>2.5000000000000001E-2</v>
      </c>
      <c r="E6" s="7">
        <v>4.4999999999999998E-2</v>
      </c>
      <c r="F6" s="7">
        <v>0.02</v>
      </c>
      <c r="G6" s="7">
        <v>2.8000000000000001E-2</v>
      </c>
      <c r="H6" s="7"/>
      <c r="I6" s="7"/>
      <c r="J6" s="7"/>
    </row>
    <row r="7" spans="1:11" x14ac:dyDescent="0.25">
      <c r="A7" s="4" t="s">
        <v>69</v>
      </c>
      <c r="C7" s="57">
        <v>0.14099999999999999</v>
      </c>
      <c r="D7" s="57">
        <v>3.7999999999999999E-2</v>
      </c>
      <c r="E7" s="7">
        <v>6.3E-2</v>
      </c>
      <c r="F7" s="7">
        <v>3.5999999999999997E-2</v>
      </c>
      <c r="G7" s="7">
        <v>5.8000000000000003E-2</v>
      </c>
      <c r="H7" s="7"/>
      <c r="I7" s="7"/>
      <c r="J7" s="7"/>
    </row>
    <row r="8" spans="1:11" x14ac:dyDescent="0.25">
      <c r="A8" s="4" t="s">
        <v>70</v>
      </c>
      <c r="C8" s="15">
        <v>0.152</v>
      </c>
      <c r="D8" s="15">
        <v>0.04</v>
      </c>
      <c r="E8" s="15">
        <v>6.5000000000000002E-2</v>
      </c>
      <c r="F8" s="15">
        <v>5.5E-2</v>
      </c>
      <c r="G8" s="15">
        <v>5.8000000000000003E-2</v>
      </c>
      <c r="H8" s="15"/>
      <c r="I8" s="15"/>
      <c r="J8" s="15"/>
    </row>
    <row r="9" spans="1:11" x14ac:dyDescent="0.25">
      <c r="A9" s="4" t="s">
        <v>71</v>
      </c>
      <c r="C9" s="57">
        <v>0.14000000000000001</v>
      </c>
      <c r="D9" s="7">
        <v>0.06</v>
      </c>
      <c r="E9" s="7">
        <v>7.0999999999999994E-2</v>
      </c>
      <c r="F9" s="7">
        <v>0.06</v>
      </c>
      <c r="G9" s="7">
        <v>0.06</v>
      </c>
      <c r="H9" s="7"/>
      <c r="I9" s="7"/>
      <c r="J9" s="7"/>
    </row>
    <row r="10" spans="1:11" x14ac:dyDescent="0.25">
      <c r="A10" s="4" t="s">
        <v>72</v>
      </c>
      <c r="C10" s="7">
        <v>0.1008</v>
      </c>
      <c r="D10" s="7">
        <v>1.6E-2</v>
      </c>
      <c r="E10" s="7">
        <v>0.09</v>
      </c>
      <c r="F10" s="7">
        <v>5.6800000000000003E-2</v>
      </c>
      <c r="G10" s="7">
        <v>6.7000000000000004E-2</v>
      </c>
      <c r="H10" s="7"/>
      <c r="I10" s="7"/>
      <c r="J10" s="7"/>
    </row>
    <row r="11" spans="1:11" x14ac:dyDescent="0.25">
      <c r="A11" s="4" t="s">
        <v>73</v>
      </c>
      <c r="C11" s="7">
        <v>7.4499999999999997E-2</v>
      </c>
      <c r="D11" s="7">
        <v>1.7999999999999999E-2</v>
      </c>
      <c r="E11" s="7">
        <v>6.6799999999999998E-2</v>
      </c>
      <c r="F11" s="7">
        <v>4.1700000000000001E-2</v>
      </c>
      <c r="G11" s="7">
        <v>3.85E-2</v>
      </c>
      <c r="H11" s="7"/>
      <c r="I11" s="7"/>
      <c r="J11" s="7"/>
    </row>
    <row r="12" spans="1:11" x14ac:dyDescent="0.25">
      <c r="A12" s="4" t="s">
        <v>74</v>
      </c>
      <c r="C12" s="7">
        <v>2.6200000000000001E-2</v>
      </c>
      <c r="D12" s="7">
        <v>5.0000000000000001E-3</v>
      </c>
      <c r="E12" s="7">
        <v>2.3199999999999998E-2</v>
      </c>
      <c r="F12" s="7">
        <v>1.4999999999999999E-2</v>
      </c>
      <c r="G12" s="7">
        <v>2.8400000000000002E-2</v>
      </c>
      <c r="H12" s="7"/>
      <c r="I12" s="7"/>
      <c r="J12" s="7"/>
    </row>
    <row r="13" spans="1:11" x14ac:dyDescent="0.25">
      <c r="A13" s="4" t="s">
        <v>75</v>
      </c>
      <c r="C13" s="7">
        <v>2.5000000000000001E-2</v>
      </c>
      <c r="D13" s="7">
        <v>0.02</v>
      </c>
      <c r="E13" s="7">
        <v>2.5000000000000001E-2</v>
      </c>
      <c r="F13" s="7">
        <v>1.7999999999999999E-2</v>
      </c>
      <c r="G13" s="7">
        <v>1.4999999999999999E-2</v>
      </c>
      <c r="H13" s="7"/>
      <c r="I13" s="7"/>
      <c r="J13" s="7"/>
    </row>
    <row r="14" spans="1:11" x14ac:dyDescent="0.25">
      <c r="A14" s="4" t="s">
        <v>76</v>
      </c>
      <c r="C14" s="9">
        <v>1.0209999999999999</v>
      </c>
      <c r="D14" s="9">
        <v>1.0209999999999999</v>
      </c>
      <c r="E14" s="9">
        <v>1.128473684210527</v>
      </c>
      <c r="F14" s="9">
        <v>1.0209999999999999</v>
      </c>
      <c r="G14" s="9">
        <v>1.0209999999999999</v>
      </c>
      <c r="H14" s="9"/>
      <c r="I14" s="9"/>
      <c r="J14" s="9"/>
    </row>
    <row r="15" spans="1:11" x14ac:dyDescent="0.25">
      <c r="A15" s="4" t="s">
        <v>77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/>
      <c r="I15" s="7"/>
      <c r="J15" s="7"/>
    </row>
    <row r="16" spans="1:11" x14ac:dyDescent="0.25">
      <c r="A16" s="4" t="s">
        <v>78</v>
      </c>
      <c r="C16" s="11">
        <f>MAX((MAX(Inputs!B18+((1-0.33)*C14*(1+(1-Inputs!B22)*Inputs!B21)+0.33)*Inputs!B19+IF(ISBLANK(C17),Inputs!B24,C17)+Inputs!B25+Inputs!B39,MIN(Inputs!B27,0.08)+0.025))*Inputs!B29+Inputs!B28*Inputs!B30,C15)</f>
        <v>7.143588269878226E-2</v>
      </c>
      <c r="D16" s="11">
        <f>MAX((MAX(Inputs!B18+((1-0.33)*D14*(1+(1-Inputs!B22)*Inputs!B21)+0.33)*Inputs!B19+IF(ISBLANK(D17),Inputs!B24,D17)+Inputs!B25+Inputs!B39,MIN(Inputs!B27,0.08)+0.025))*Inputs!B29+Inputs!B28*Inputs!B30,D15)</f>
        <v>7.143588269878226E-2</v>
      </c>
      <c r="E16" s="11">
        <f>MAX((MAX(Inputs!B18+((1-0.33)*E14*(1+(1-Inputs!B22)*Inputs!B21)+0.33)*Inputs!B19+IF(ISBLANK(E17),Inputs!B24,E17)+Inputs!B25+Inputs!B39,MIN(Inputs!B27,0.08)+0.025))*Inputs!B29+Inputs!B28*Inputs!B30,E15)</f>
        <v>7.4970016361472436E-2</v>
      </c>
      <c r="F16" s="11">
        <f>MAX((MAX(Inputs!B18+((1-0.33)*F14*(1+(1-Inputs!B22)*Inputs!B21)+0.33)*Inputs!B19+IF(ISBLANK(F17),Inputs!B24,F17)+Inputs!B25+Inputs!B39,MIN(Inputs!B27,0.08)+0.025))*Inputs!B29+Inputs!B28*Inputs!B30,F15)</f>
        <v>7.143588269878226E-2</v>
      </c>
      <c r="G16" s="11">
        <f>MAX((MAX(Inputs!B18+((1-0.33)*G14*(1+(1-Inputs!B22)*Inputs!B21)+0.33)*Inputs!B19+IF(ISBLANK(G17),Inputs!B24,G17)+Inputs!B25+Inputs!B39,MIN(Inputs!B27,0.08)+0.025))*Inputs!B29+Inputs!B28*Inputs!B30,G15)</f>
        <v>7.143588269878226E-2</v>
      </c>
      <c r="H16" s="11">
        <f>MAX((MAX(Inputs!B18+((1-0.33)*H14*(1+(1-Inputs!B22)*Inputs!B21)+0.33)*Inputs!B19+IF(ISBLANK(H17),Inputs!B24,H17)+Inputs!B25+Inputs!B39,MIN(Inputs!B27,0.08)+0.025))*Inputs!B29+Inputs!B28*Inputs!B30,H15)</f>
        <v>4.7490161290322588E-2</v>
      </c>
      <c r="I16" s="11">
        <f>MAX((MAX(Inputs!B18+((1-0.33)*I14*(1+(1-Inputs!B22)*Inputs!B21)+0.33)*Inputs!B19+IF(ISBLANK(I17),Inputs!B24,I17)+Inputs!B25+Inputs!B39,MIN(Inputs!B27,0.08)+0.025))*Inputs!B29+Inputs!B28*Inputs!B30,I15)</f>
        <v>4.7490161290322588E-2</v>
      </c>
      <c r="J16" s="11">
        <f>MAX((MAX(Inputs!B18+((1-0.33)*J14*(1+(1-Inputs!B22)*Inputs!B21)+0.33)*Inputs!B19+IF(ISBLANK(J17),Inputs!B24,J17)+Inputs!B25+Inputs!B39,MIN(Inputs!B27,0.08)+0.025))*Inputs!B29+Inputs!B28*Inputs!B30,J15)</f>
        <v>4.7490161290322588E-2</v>
      </c>
    </row>
    <row r="17" spans="1:10" x14ac:dyDescent="0.25">
      <c r="A17" s="16" t="s">
        <v>79</v>
      </c>
      <c r="C17" s="7"/>
      <c r="D17" s="7"/>
      <c r="E17" s="7"/>
      <c r="F17" s="7"/>
      <c r="G17" s="7"/>
      <c r="H17" s="7"/>
      <c r="I17" s="7"/>
      <c r="J17" s="7"/>
    </row>
    <row r="18" spans="1:10" ht="39.950000000000003" customHeight="1" x14ac:dyDescent="0.25">
      <c r="A18" s="17" t="s">
        <v>80</v>
      </c>
      <c r="C18" s="18" t="s">
        <v>81</v>
      </c>
      <c r="D18" s="18" t="s">
        <v>82</v>
      </c>
      <c r="E18" s="18" t="s">
        <v>83</v>
      </c>
      <c r="F18" s="18" t="s">
        <v>84</v>
      </c>
      <c r="G18" s="18" t="s">
        <v>85</v>
      </c>
      <c r="H18" s="18"/>
      <c r="I18" s="18"/>
      <c r="J18" s="18"/>
    </row>
    <row r="19" spans="1:10" ht="39.950000000000003" customHeight="1" x14ac:dyDescent="0.25">
      <c r="A19" s="17" t="s">
        <v>86</v>
      </c>
      <c r="C19" s="18" t="s">
        <v>87</v>
      </c>
      <c r="D19" s="18" t="s">
        <v>88</v>
      </c>
      <c r="E19" s="18" t="s">
        <v>89</v>
      </c>
      <c r="F19" s="18" t="s">
        <v>90</v>
      </c>
      <c r="G19" s="18" t="s">
        <v>91</v>
      </c>
      <c r="H19" s="18"/>
      <c r="I19" s="18"/>
      <c r="J19" s="18"/>
    </row>
    <row r="21" spans="1:10" x14ac:dyDescent="0.25">
      <c r="A21" s="4" t="s">
        <v>92</v>
      </c>
      <c r="C21" s="6">
        <f t="shared" ref="C21:J21" si="0">C5*(1+C6)^1</f>
        <v>25590.425000000003</v>
      </c>
      <c r="D21" s="6">
        <f t="shared" si="0"/>
        <v>19109.074999999997</v>
      </c>
      <c r="E21" s="6">
        <f t="shared" si="0"/>
        <v>18578.009999999998</v>
      </c>
      <c r="F21" s="6">
        <f t="shared" si="0"/>
        <v>7021.68</v>
      </c>
      <c r="G21" s="6">
        <f t="shared" si="0"/>
        <v>18374.472000000002</v>
      </c>
      <c r="H21" s="6">
        <f t="shared" si="0"/>
        <v>0</v>
      </c>
      <c r="I21" s="6">
        <f t="shared" si="0"/>
        <v>0</v>
      </c>
      <c r="J21" s="6">
        <f t="shared" si="0"/>
        <v>0</v>
      </c>
    </row>
    <row r="22" spans="1:10" x14ac:dyDescent="0.25">
      <c r="A22" s="4" t="s">
        <v>93</v>
      </c>
      <c r="C22" s="6">
        <f t="shared" ref="C22:J22" si="1">C5*(1+C6)^2</f>
        <v>26805.970187500006</v>
      </c>
      <c r="D22" s="6">
        <f t="shared" si="1"/>
        <v>19586.801874999997</v>
      </c>
      <c r="E22" s="6">
        <f t="shared" si="1"/>
        <v>19414.020449999996</v>
      </c>
      <c r="F22" s="6">
        <f t="shared" si="1"/>
        <v>7162.1135999999997</v>
      </c>
      <c r="G22" s="6">
        <f t="shared" si="1"/>
        <v>18888.957215999999</v>
      </c>
      <c r="H22" s="6">
        <f t="shared" si="1"/>
        <v>0</v>
      </c>
      <c r="I22" s="6">
        <f t="shared" si="1"/>
        <v>0</v>
      </c>
      <c r="J22" s="6">
        <f t="shared" si="1"/>
        <v>0</v>
      </c>
    </row>
    <row r="23" spans="1:10" x14ac:dyDescent="0.25">
      <c r="A23" s="4" t="s">
        <v>94</v>
      </c>
      <c r="C23" s="6">
        <f t="shared" ref="C23:J23" si="2">C5*(1+C6)^3</f>
        <v>28079.25377140626</v>
      </c>
      <c r="D23" s="6">
        <f t="shared" si="2"/>
        <v>20076.471921874996</v>
      </c>
      <c r="E23" s="6">
        <f t="shared" si="2"/>
        <v>20287.651370249998</v>
      </c>
      <c r="F23" s="6">
        <f t="shared" si="2"/>
        <v>7305.3558719999992</v>
      </c>
      <c r="G23" s="6">
        <f t="shared" si="2"/>
        <v>19417.848018048</v>
      </c>
      <c r="H23" s="6">
        <f t="shared" si="2"/>
        <v>0</v>
      </c>
      <c r="I23" s="6">
        <f t="shared" si="2"/>
        <v>0</v>
      </c>
      <c r="J23" s="6">
        <f t="shared" si="2"/>
        <v>0</v>
      </c>
    </row>
    <row r="24" spans="1:10" x14ac:dyDescent="0.25">
      <c r="A24" s="4" t="s">
        <v>95</v>
      </c>
      <c r="C24" s="6">
        <f t="shared" ref="C24:J24" si="3">C5*(1+C6)^4</f>
        <v>29413.018325548059</v>
      </c>
      <c r="D24" s="6">
        <f t="shared" si="3"/>
        <v>20578.383719921872</v>
      </c>
      <c r="E24" s="6">
        <f t="shared" si="3"/>
        <v>21200.59568191124</v>
      </c>
      <c r="F24" s="6">
        <f t="shared" si="3"/>
        <v>7451.4629894399995</v>
      </c>
      <c r="G24" s="6">
        <f t="shared" si="3"/>
        <v>19961.547762553342</v>
      </c>
      <c r="H24" s="6">
        <f t="shared" si="3"/>
        <v>0</v>
      </c>
      <c r="I24" s="6">
        <f t="shared" si="3"/>
        <v>0</v>
      </c>
      <c r="J24" s="6">
        <f t="shared" si="3"/>
        <v>0</v>
      </c>
    </row>
    <row r="25" spans="1:10" x14ac:dyDescent="0.25">
      <c r="A25" s="4" t="s">
        <v>96</v>
      </c>
      <c r="C25" s="6">
        <f t="shared" ref="C25:J25" si="4">C5*(1+C6)^5</f>
        <v>30810.136696011596</v>
      </c>
      <c r="D25" s="6">
        <f t="shared" si="4"/>
        <v>21092.843312919915</v>
      </c>
      <c r="E25" s="6">
        <f t="shared" si="4"/>
        <v>22154.622487597248</v>
      </c>
      <c r="F25" s="6">
        <f t="shared" si="4"/>
        <v>7600.4922492287997</v>
      </c>
      <c r="G25" s="6">
        <f t="shared" si="4"/>
        <v>20520.471099904837</v>
      </c>
      <c r="H25" s="6">
        <f t="shared" si="4"/>
        <v>0</v>
      </c>
      <c r="I25" s="6">
        <f t="shared" si="4"/>
        <v>0</v>
      </c>
      <c r="J25" s="6">
        <f t="shared" si="4"/>
        <v>0</v>
      </c>
    </row>
    <row r="26" spans="1:10" x14ac:dyDescent="0.25">
      <c r="A26" s="4" t="s">
        <v>97</v>
      </c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4" t="s">
        <v>98</v>
      </c>
      <c r="C27" s="11">
        <f t="shared" ref="C27:J27" si="5">IF(ISBLANK(C9),C7,C7+(C9-C7)*(0)/4)</f>
        <v>0.14099999999999999</v>
      </c>
      <c r="D27" s="11">
        <f t="shared" si="5"/>
        <v>3.7999999999999999E-2</v>
      </c>
      <c r="E27" s="11">
        <f t="shared" si="5"/>
        <v>6.3E-2</v>
      </c>
      <c r="F27" s="11">
        <f t="shared" si="5"/>
        <v>3.5999999999999997E-2</v>
      </c>
      <c r="G27" s="11">
        <f t="shared" si="5"/>
        <v>5.8000000000000003E-2</v>
      </c>
      <c r="H27" s="11">
        <f t="shared" si="5"/>
        <v>0</v>
      </c>
      <c r="I27" s="11">
        <f t="shared" si="5"/>
        <v>0</v>
      </c>
      <c r="J27" s="11">
        <f t="shared" si="5"/>
        <v>0</v>
      </c>
    </row>
    <row r="28" spans="1:10" x14ac:dyDescent="0.25">
      <c r="A28" s="4" t="s">
        <v>99</v>
      </c>
      <c r="C28" s="11">
        <f t="shared" ref="C28:J28" si="6">IF(ISBLANK(C9),C7,C7+(C9-C7)*(1)/4)</f>
        <v>0.14074999999999999</v>
      </c>
      <c r="D28" s="11">
        <f t="shared" si="6"/>
        <v>4.3499999999999997E-2</v>
      </c>
      <c r="E28" s="11">
        <f t="shared" si="6"/>
        <v>6.5000000000000002E-2</v>
      </c>
      <c r="F28" s="11">
        <f t="shared" si="6"/>
        <v>4.1999999999999996E-2</v>
      </c>
      <c r="G28" s="11">
        <f t="shared" si="6"/>
        <v>5.8500000000000003E-2</v>
      </c>
      <c r="H28" s="11">
        <f t="shared" si="6"/>
        <v>0</v>
      </c>
      <c r="I28" s="11">
        <f t="shared" si="6"/>
        <v>0</v>
      </c>
      <c r="J28" s="11">
        <f t="shared" si="6"/>
        <v>0</v>
      </c>
    </row>
    <row r="29" spans="1:10" x14ac:dyDescent="0.25">
      <c r="A29" s="4" t="s">
        <v>100</v>
      </c>
      <c r="C29" s="11">
        <f t="shared" ref="C29:J29" si="7">IF(ISBLANK(C9),C7,C7+(C9-C7)*(2)/4)</f>
        <v>0.14050000000000001</v>
      </c>
      <c r="D29" s="11">
        <f t="shared" si="7"/>
        <v>4.9000000000000002E-2</v>
      </c>
      <c r="E29" s="11">
        <f t="shared" si="7"/>
        <v>6.7000000000000004E-2</v>
      </c>
      <c r="F29" s="11">
        <f t="shared" si="7"/>
        <v>4.8000000000000001E-2</v>
      </c>
      <c r="G29" s="11">
        <f t="shared" si="7"/>
        <v>5.8999999999999997E-2</v>
      </c>
      <c r="H29" s="11">
        <f t="shared" si="7"/>
        <v>0</v>
      </c>
      <c r="I29" s="11">
        <f t="shared" si="7"/>
        <v>0</v>
      </c>
      <c r="J29" s="11">
        <f t="shared" si="7"/>
        <v>0</v>
      </c>
    </row>
    <row r="30" spans="1:10" x14ac:dyDescent="0.25">
      <c r="A30" s="4" t="s">
        <v>101</v>
      </c>
      <c r="C30" s="11">
        <f t="shared" ref="C30:J30" si="8">IF(ISBLANK(C9),C7,C7+(C9-C7)*(3)/4)</f>
        <v>0.14025000000000001</v>
      </c>
      <c r="D30" s="11">
        <f t="shared" si="8"/>
        <v>5.45E-2</v>
      </c>
      <c r="E30" s="11">
        <f t="shared" si="8"/>
        <v>6.8999999999999992E-2</v>
      </c>
      <c r="F30" s="11">
        <f t="shared" si="8"/>
        <v>5.3999999999999999E-2</v>
      </c>
      <c r="G30" s="11">
        <f t="shared" si="8"/>
        <v>5.9499999999999997E-2</v>
      </c>
      <c r="H30" s="11">
        <f t="shared" si="8"/>
        <v>0</v>
      </c>
      <c r="I30" s="11">
        <f t="shared" si="8"/>
        <v>0</v>
      </c>
      <c r="J30" s="11">
        <f t="shared" si="8"/>
        <v>0</v>
      </c>
    </row>
    <row r="31" spans="1:10" x14ac:dyDescent="0.25">
      <c r="A31" s="4" t="s">
        <v>102</v>
      </c>
      <c r="C31" s="11">
        <f t="shared" ref="C31:J31" si="9">IF(ISBLANK(C9),C7,C7+(C9-C7)*(4)/4)</f>
        <v>0.14000000000000001</v>
      </c>
      <c r="D31" s="11">
        <f t="shared" si="9"/>
        <v>0.06</v>
      </c>
      <c r="E31" s="11">
        <f t="shared" si="9"/>
        <v>7.0999999999999994E-2</v>
      </c>
      <c r="F31" s="11">
        <f t="shared" si="9"/>
        <v>0.06</v>
      </c>
      <c r="G31" s="11">
        <f t="shared" si="9"/>
        <v>0.06</v>
      </c>
      <c r="H31" s="11">
        <f t="shared" si="9"/>
        <v>0</v>
      </c>
      <c r="I31" s="11">
        <f t="shared" si="9"/>
        <v>0</v>
      </c>
      <c r="J31" s="11">
        <f t="shared" si="9"/>
        <v>0</v>
      </c>
    </row>
    <row r="33" spans="1:10" x14ac:dyDescent="0.25">
      <c r="A33" s="4" t="s">
        <v>103</v>
      </c>
      <c r="C33" s="6">
        <f t="shared" ref="C33:J37" si="10">C21*C27</f>
        <v>3608.2499250000001</v>
      </c>
      <c r="D33" s="6">
        <f t="shared" si="10"/>
        <v>726.14484999999991</v>
      </c>
      <c r="E33" s="6">
        <f t="shared" si="10"/>
        <v>1170.41463</v>
      </c>
      <c r="F33" s="6">
        <f t="shared" si="10"/>
        <v>252.78047999999998</v>
      </c>
      <c r="G33" s="6">
        <f t="shared" si="10"/>
        <v>1065.7193760000002</v>
      </c>
      <c r="H33" s="6">
        <f t="shared" si="10"/>
        <v>0</v>
      </c>
      <c r="I33" s="6">
        <f t="shared" si="10"/>
        <v>0</v>
      </c>
      <c r="J33" s="6">
        <f t="shared" si="10"/>
        <v>0</v>
      </c>
    </row>
    <row r="34" spans="1:10" x14ac:dyDescent="0.25">
      <c r="A34" s="4" t="s">
        <v>104</v>
      </c>
      <c r="C34" s="6">
        <f t="shared" si="10"/>
        <v>3772.9403038906257</v>
      </c>
      <c r="D34" s="6">
        <f t="shared" si="10"/>
        <v>852.02588156249988</v>
      </c>
      <c r="E34" s="6">
        <f t="shared" si="10"/>
        <v>1261.9113292499999</v>
      </c>
      <c r="F34" s="6">
        <f t="shared" si="10"/>
        <v>300.80877119999997</v>
      </c>
      <c r="G34" s="6">
        <f t="shared" si="10"/>
        <v>1105.003997136</v>
      </c>
      <c r="H34" s="6">
        <f t="shared" si="10"/>
        <v>0</v>
      </c>
      <c r="I34" s="6">
        <f t="shared" si="10"/>
        <v>0</v>
      </c>
      <c r="J34" s="6">
        <f t="shared" si="10"/>
        <v>0</v>
      </c>
    </row>
    <row r="35" spans="1:10" x14ac:dyDescent="0.25">
      <c r="A35" s="4" t="s">
        <v>105</v>
      </c>
      <c r="C35" s="6">
        <f t="shared" si="10"/>
        <v>3945.1351548825801</v>
      </c>
      <c r="D35" s="6">
        <f t="shared" si="10"/>
        <v>983.74712417187482</v>
      </c>
      <c r="E35" s="6">
        <f t="shared" si="10"/>
        <v>1359.27264180675</v>
      </c>
      <c r="F35" s="6">
        <f t="shared" si="10"/>
        <v>350.65708185599999</v>
      </c>
      <c r="G35" s="6">
        <f t="shared" si="10"/>
        <v>1145.653033064832</v>
      </c>
      <c r="H35" s="6">
        <f t="shared" si="10"/>
        <v>0</v>
      </c>
      <c r="I35" s="6">
        <f t="shared" si="10"/>
        <v>0</v>
      </c>
      <c r="J35" s="6">
        <f t="shared" si="10"/>
        <v>0</v>
      </c>
    </row>
    <row r="36" spans="1:10" x14ac:dyDescent="0.25">
      <c r="A36" s="4" t="s">
        <v>106</v>
      </c>
      <c r="C36" s="6">
        <f t="shared" si="10"/>
        <v>4125.175820158116</v>
      </c>
      <c r="D36" s="6">
        <f t="shared" si="10"/>
        <v>1121.521912735742</v>
      </c>
      <c r="E36" s="6">
        <f t="shared" si="10"/>
        <v>1462.8411020518754</v>
      </c>
      <c r="F36" s="6">
        <f t="shared" si="10"/>
        <v>402.37900142975997</v>
      </c>
      <c r="G36" s="6">
        <f t="shared" si="10"/>
        <v>1187.7120918719238</v>
      </c>
      <c r="H36" s="6">
        <f t="shared" si="10"/>
        <v>0</v>
      </c>
      <c r="I36" s="6">
        <f t="shared" si="10"/>
        <v>0</v>
      </c>
      <c r="J36" s="6">
        <f t="shared" si="10"/>
        <v>0</v>
      </c>
    </row>
    <row r="37" spans="1:10" x14ac:dyDescent="0.25">
      <c r="A37" s="4" t="s">
        <v>107</v>
      </c>
      <c r="C37" s="6">
        <f t="shared" si="10"/>
        <v>4313.4191374416241</v>
      </c>
      <c r="D37" s="6">
        <f t="shared" si="10"/>
        <v>1265.5705987751949</v>
      </c>
      <c r="E37" s="6">
        <f t="shared" si="10"/>
        <v>1572.9781966194043</v>
      </c>
      <c r="F37" s="6">
        <f t="shared" si="10"/>
        <v>456.02953495372799</v>
      </c>
      <c r="G37" s="6">
        <f t="shared" si="10"/>
        <v>1231.22826599429</v>
      </c>
      <c r="H37" s="6">
        <f t="shared" si="10"/>
        <v>0</v>
      </c>
      <c r="I37" s="6">
        <f t="shared" si="10"/>
        <v>0</v>
      </c>
      <c r="J37" s="6">
        <f t="shared" si="10"/>
        <v>0</v>
      </c>
    </row>
    <row r="39" spans="1:10" x14ac:dyDescent="0.25">
      <c r="A39" s="4" t="s">
        <v>108</v>
      </c>
      <c r="C39" s="6">
        <f>C33*(1-Inputs!B22)</f>
        <v>2551.0326969750004</v>
      </c>
      <c r="D39" s="6">
        <f>D33*(1-Inputs!B22)</f>
        <v>513.38440894999997</v>
      </c>
      <c r="E39" s="6">
        <f>E33*(1-Inputs!B22)</f>
        <v>827.48314341000003</v>
      </c>
      <c r="F39" s="6">
        <f>F33*(1-Inputs!B22)</f>
        <v>178.71579936000001</v>
      </c>
      <c r="G39" s="6">
        <f>G33*(1-Inputs!B22)</f>
        <v>753.46359883200023</v>
      </c>
      <c r="H39" s="6">
        <f>H33*(1-Inputs!B22)</f>
        <v>0</v>
      </c>
      <c r="I39" s="6">
        <f>I33*(1-Inputs!B22)</f>
        <v>0</v>
      </c>
      <c r="J39" s="6">
        <f>J33*(1-Inputs!B22)</f>
        <v>0</v>
      </c>
    </row>
    <row r="40" spans="1:10" x14ac:dyDescent="0.25">
      <c r="A40" s="4" t="s">
        <v>109</v>
      </c>
      <c r="C40" s="6">
        <f>C34*(1-Inputs!B22)</f>
        <v>2667.4687948506726</v>
      </c>
      <c r="D40" s="6">
        <f>D34*(1-Inputs!B22)</f>
        <v>602.38229826468751</v>
      </c>
      <c r="E40" s="6">
        <f>E34*(1-Inputs!B22)</f>
        <v>892.17130977975</v>
      </c>
      <c r="F40" s="6">
        <f>F34*(1-Inputs!B22)</f>
        <v>212.67180123840001</v>
      </c>
      <c r="G40" s="6">
        <f>G34*(1-Inputs!B22)</f>
        <v>781.23782597515208</v>
      </c>
      <c r="H40" s="6">
        <f>H34*(1-Inputs!B22)</f>
        <v>0</v>
      </c>
      <c r="I40" s="6">
        <f>I34*(1-Inputs!B22)</f>
        <v>0</v>
      </c>
      <c r="J40" s="6">
        <f>J34*(1-Inputs!B22)</f>
        <v>0</v>
      </c>
    </row>
    <row r="41" spans="1:10" x14ac:dyDescent="0.25">
      <c r="A41" s="4" t="s">
        <v>110</v>
      </c>
      <c r="C41" s="6">
        <f>C35*(1-Inputs!B22)</f>
        <v>2789.2105545019845</v>
      </c>
      <c r="D41" s="6">
        <f>D35*(1-Inputs!B22)</f>
        <v>695.50921678951556</v>
      </c>
      <c r="E41" s="6">
        <f>E35*(1-Inputs!B22)</f>
        <v>961.00575775737241</v>
      </c>
      <c r="F41" s="6">
        <f>F35*(1-Inputs!B22)</f>
        <v>247.91455687219201</v>
      </c>
      <c r="G41" s="6">
        <f>G35*(1-Inputs!B22)</f>
        <v>809.97669437683635</v>
      </c>
      <c r="H41" s="6">
        <f>H35*(1-Inputs!B22)</f>
        <v>0</v>
      </c>
      <c r="I41" s="6">
        <f>I35*(1-Inputs!B22)</f>
        <v>0</v>
      </c>
      <c r="J41" s="6">
        <f>J35*(1-Inputs!B22)</f>
        <v>0</v>
      </c>
    </row>
    <row r="42" spans="1:10" x14ac:dyDescent="0.25">
      <c r="A42" s="4" t="s">
        <v>111</v>
      </c>
      <c r="C42" s="6">
        <f>C36*(1-Inputs!B22)</f>
        <v>2916.4993048517886</v>
      </c>
      <c r="D42" s="6">
        <f>D36*(1-Inputs!B22)</f>
        <v>792.91599230416966</v>
      </c>
      <c r="E42" s="6">
        <f>E36*(1-Inputs!B22)</f>
        <v>1034.2286591506761</v>
      </c>
      <c r="F42" s="6">
        <f>F36*(1-Inputs!B22)</f>
        <v>284.4819540108403</v>
      </c>
      <c r="G42" s="6">
        <f>G36*(1-Inputs!B22)</f>
        <v>839.71244895345023</v>
      </c>
      <c r="H42" s="6">
        <f>H36*(1-Inputs!B22)</f>
        <v>0</v>
      </c>
      <c r="I42" s="6">
        <f>I36*(1-Inputs!B22)</f>
        <v>0</v>
      </c>
      <c r="J42" s="6">
        <f>J36*(1-Inputs!B22)</f>
        <v>0</v>
      </c>
    </row>
    <row r="43" spans="1:10" x14ac:dyDescent="0.25">
      <c r="A43" s="4" t="s">
        <v>112</v>
      </c>
      <c r="C43" s="6">
        <f>C37*(1-Inputs!B22)</f>
        <v>3049.5873301712286</v>
      </c>
      <c r="D43" s="6">
        <f>D37*(1-Inputs!B22)</f>
        <v>894.75841333406288</v>
      </c>
      <c r="E43" s="6">
        <f>E37*(1-Inputs!B22)</f>
        <v>1112.095585009919</v>
      </c>
      <c r="F43" s="6">
        <f>F37*(1-Inputs!B22)</f>
        <v>322.4128812122857</v>
      </c>
      <c r="G43" s="6">
        <f>G37*(1-Inputs!B22)</f>
        <v>870.47838405796313</v>
      </c>
      <c r="H43" s="6">
        <f>H37*(1-Inputs!B22)</f>
        <v>0</v>
      </c>
      <c r="I43" s="6">
        <f>I37*(1-Inputs!B22)</f>
        <v>0</v>
      </c>
      <c r="J43" s="6">
        <f>J37*(1-Inputs!B22)</f>
        <v>0</v>
      </c>
    </row>
    <row r="45" spans="1:10" x14ac:dyDescent="0.25">
      <c r="A45" s="4" t="s">
        <v>113</v>
      </c>
      <c r="C45" s="6">
        <f t="shared" ref="C45:J45" si="11">C21*IF(ISBLANK(C26),C12,C12+(C26-C12)*(0)/4)</f>
        <v>670.46913500000005</v>
      </c>
      <c r="D45" s="6">
        <f t="shared" si="11"/>
        <v>95.545374999999993</v>
      </c>
      <c r="E45" s="6">
        <f t="shared" si="11"/>
        <v>431.00983199999996</v>
      </c>
      <c r="F45" s="6">
        <f t="shared" si="11"/>
        <v>105.3252</v>
      </c>
      <c r="G45" s="6">
        <f t="shared" si="11"/>
        <v>521.83500480000009</v>
      </c>
      <c r="H45" s="6">
        <f t="shared" si="11"/>
        <v>0</v>
      </c>
      <c r="I45" s="6">
        <f t="shared" si="11"/>
        <v>0</v>
      </c>
      <c r="J45" s="6">
        <f t="shared" si="11"/>
        <v>0</v>
      </c>
    </row>
    <row r="46" spans="1:10" x14ac:dyDescent="0.25">
      <c r="A46" s="4" t="s">
        <v>114</v>
      </c>
      <c r="C46" s="6">
        <f t="shared" ref="C46:J46" si="12">C22*IF(ISBLANK(C26),C12,C12+(C26-C12)*(1)/4)</f>
        <v>702.31641891250024</v>
      </c>
      <c r="D46" s="6">
        <f t="shared" si="12"/>
        <v>97.934009374999988</v>
      </c>
      <c r="E46" s="6">
        <f t="shared" si="12"/>
        <v>450.40527443999986</v>
      </c>
      <c r="F46" s="6">
        <f t="shared" si="12"/>
        <v>107.431704</v>
      </c>
      <c r="G46" s="6">
        <f t="shared" si="12"/>
        <v>536.44638493440004</v>
      </c>
      <c r="H46" s="6">
        <f t="shared" si="12"/>
        <v>0</v>
      </c>
      <c r="I46" s="6">
        <f t="shared" si="12"/>
        <v>0</v>
      </c>
      <c r="J46" s="6">
        <f t="shared" si="12"/>
        <v>0</v>
      </c>
    </row>
    <row r="47" spans="1:10" x14ac:dyDescent="0.25">
      <c r="A47" s="4" t="s">
        <v>115</v>
      </c>
      <c r="C47" s="6">
        <f t="shared" ref="C47:J47" si="13">C23*IF(ISBLANK(C26),C12,C12+(C26-C12)*(2)/4)</f>
        <v>735.67644881084402</v>
      </c>
      <c r="D47" s="6">
        <f t="shared" si="13"/>
        <v>100.38235960937499</v>
      </c>
      <c r="E47" s="6">
        <f t="shared" si="13"/>
        <v>470.67351178979993</v>
      </c>
      <c r="F47" s="6">
        <f t="shared" si="13"/>
        <v>109.58033807999999</v>
      </c>
      <c r="G47" s="6">
        <f t="shared" si="13"/>
        <v>551.46688371256323</v>
      </c>
      <c r="H47" s="6">
        <f t="shared" si="13"/>
        <v>0</v>
      </c>
      <c r="I47" s="6">
        <f t="shared" si="13"/>
        <v>0</v>
      </c>
      <c r="J47" s="6">
        <f t="shared" si="13"/>
        <v>0</v>
      </c>
    </row>
    <row r="48" spans="1:10" x14ac:dyDescent="0.25">
      <c r="A48" s="4" t="s">
        <v>116</v>
      </c>
      <c r="C48" s="6">
        <f t="shared" ref="C48:J48" si="14">C24*IF(ISBLANK(C26),C12,C12+(C26-C12)*(3)/4)</f>
        <v>770.62108012935914</v>
      </c>
      <c r="D48" s="6">
        <f t="shared" si="14"/>
        <v>102.89191859960937</v>
      </c>
      <c r="E48" s="6">
        <f t="shared" si="14"/>
        <v>491.85381982034073</v>
      </c>
      <c r="F48" s="6">
        <f t="shared" si="14"/>
        <v>111.77194484159999</v>
      </c>
      <c r="G48" s="6">
        <f t="shared" si="14"/>
        <v>566.90795645651497</v>
      </c>
      <c r="H48" s="6">
        <f t="shared" si="14"/>
        <v>0</v>
      </c>
      <c r="I48" s="6">
        <f t="shared" si="14"/>
        <v>0</v>
      </c>
      <c r="J48" s="6">
        <f t="shared" si="14"/>
        <v>0</v>
      </c>
    </row>
    <row r="49" spans="1:10" x14ac:dyDescent="0.25">
      <c r="A49" s="4" t="s">
        <v>117</v>
      </c>
      <c r="C49" s="6">
        <f t="shared" ref="C49:J49" si="15">C25*IF(ISBLANK(C26),C12,C12+(C26-C12)*(4)/4)</f>
        <v>807.22558143550384</v>
      </c>
      <c r="D49" s="6">
        <f t="shared" si="15"/>
        <v>105.46421656459958</v>
      </c>
      <c r="E49" s="6">
        <f t="shared" si="15"/>
        <v>513.98724171225615</v>
      </c>
      <c r="F49" s="6">
        <f t="shared" si="15"/>
        <v>114.007383738432</v>
      </c>
      <c r="G49" s="6">
        <f t="shared" si="15"/>
        <v>582.78137923729741</v>
      </c>
      <c r="H49" s="6">
        <f t="shared" si="15"/>
        <v>0</v>
      </c>
      <c r="I49" s="6">
        <f t="shared" si="15"/>
        <v>0</v>
      </c>
      <c r="J49" s="6">
        <f t="shared" si="15"/>
        <v>0</v>
      </c>
    </row>
    <row r="51" spans="1:10" x14ac:dyDescent="0.25">
      <c r="A51" s="4" t="s">
        <v>118</v>
      </c>
      <c r="C51" s="6">
        <f t="shared" ref="C51:J55" si="16">C39-C45</f>
        <v>1880.5635619750003</v>
      </c>
      <c r="D51" s="6">
        <f t="shared" si="16"/>
        <v>417.83903394999999</v>
      </c>
      <c r="E51" s="6">
        <f t="shared" si="16"/>
        <v>396.47331141000006</v>
      </c>
      <c r="F51" s="6">
        <f t="shared" si="16"/>
        <v>73.39059936000001</v>
      </c>
      <c r="G51" s="6">
        <f t="shared" si="16"/>
        <v>231.62859403200014</v>
      </c>
      <c r="H51" s="6">
        <f t="shared" si="16"/>
        <v>0</v>
      </c>
      <c r="I51" s="6">
        <f t="shared" si="16"/>
        <v>0</v>
      </c>
      <c r="J51" s="6">
        <f t="shared" si="16"/>
        <v>0</v>
      </c>
    </row>
    <row r="52" spans="1:10" x14ac:dyDescent="0.25">
      <c r="A52" s="4" t="s">
        <v>119</v>
      </c>
      <c r="C52" s="6">
        <f t="shared" si="16"/>
        <v>1965.1523759381723</v>
      </c>
      <c r="D52" s="6">
        <f t="shared" si="16"/>
        <v>504.44828888968755</v>
      </c>
      <c r="E52" s="6">
        <f t="shared" si="16"/>
        <v>441.76603533975015</v>
      </c>
      <c r="F52" s="6">
        <f t="shared" si="16"/>
        <v>105.24009723840001</v>
      </c>
      <c r="G52" s="6">
        <f t="shared" si="16"/>
        <v>244.79144104075203</v>
      </c>
      <c r="H52" s="6">
        <f t="shared" si="16"/>
        <v>0</v>
      </c>
      <c r="I52" s="6">
        <f t="shared" si="16"/>
        <v>0</v>
      </c>
      <c r="J52" s="6">
        <f t="shared" si="16"/>
        <v>0</v>
      </c>
    </row>
    <row r="53" spans="1:10" x14ac:dyDescent="0.25">
      <c r="A53" s="4" t="s">
        <v>120</v>
      </c>
      <c r="C53" s="6">
        <f t="shared" si="16"/>
        <v>2053.5341056911402</v>
      </c>
      <c r="D53" s="6">
        <f t="shared" si="16"/>
        <v>595.12685718014063</v>
      </c>
      <c r="E53" s="6">
        <f t="shared" si="16"/>
        <v>490.33224596757248</v>
      </c>
      <c r="F53" s="6">
        <f t="shared" si="16"/>
        <v>138.33421879219202</v>
      </c>
      <c r="G53" s="6">
        <f t="shared" si="16"/>
        <v>258.50981066427312</v>
      </c>
      <c r="H53" s="6">
        <f t="shared" si="16"/>
        <v>0</v>
      </c>
      <c r="I53" s="6">
        <f t="shared" si="16"/>
        <v>0</v>
      </c>
      <c r="J53" s="6">
        <f t="shared" si="16"/>
        <v>0</v>
      </c>
    </row>
    <row r="54" spans="1:10" x14ac:dyDescent="0.25">
      <c r="A54" s="4" t="s">
        <v>121</v>
      </c>
      <c r="C54" s="6">
        <f t="shared" si="16"/>
        <v>2145.8782247224294</v>
      </c>
      <c r="D54" s="6">
        <f t="shared" si="16"/>
        <v>690.02407370456035</v>
      </c>
      <c r="E54" s="6">
        <f t="shared" si="16"/>
        <v>542.37483933033536</v>
      </c>
      <c r="F54" s="6">
        <f t="shared" si="16"/>
        <v>172.71000916924032</v>
      </c>
      <c r="G54" s="6">
        <f t="shared" si="16"/>
        <v>272.80449249693527</v>
      </c>
      <c r="H54" s="6">
        <f t="shared" si="16"/>
        <v>0</v>
      </c>
      <c r="I54" s="6">
        <f t="shared" si="16"/>
        <v>0</v>
      </c>
      <c r="J54" s="6">
        <f t="shared" si="16"/>
        <v>0</v>
      </c>
    </row>
    <row r="55" spans="1:10" x14ac:dyDescent="0.25">
      <c r="A55" s="4" t="s">
        <v>122</v>
      </c>
      <c r="C55" s="6">
        <f t="shared" si="16"/>
        <v>2242.3617487357246</v>
      </c>
      <c r="D55" s="6">
        <f t="shared" si="16"/>
        <v>789.29419676946327</v>
      </c>
      <c r="E55" s="6">
        <f t="shared" si="16"/>
        <v>598.10834329766283</v>
      </c>
      <c r="F55" s="6">
        <f t="shared" si="16"/>
        <v>208.4054974738537</v>
      </c>
      <c r="G55" s="6">
        <f t="shared" si="16"/>
        <v>287.69700482066571</v>
      </c>
      <c r="H55" s="6">
        <f t="shared" si="16"/>
        <v>0</v>
      </c>
      <c r="I55" s="6">
        <f t="shared" si="16"/>
        <v>0</v>
      </c>
      <c r="J55" s="6">
        <f t="shared" si="16"/>
        <v>0</v>
      </c>
    </row>
    <row r="57" spans="1:10" x14ac:dyDescent="0.25">
      <c r="A57" s="4" t="s">
        <v>123</v>
      </c>
      <c r="C57" s="6">
        <f t="shared" ref="C57:J57" si="17">C51/((1+C16))</f>
        <v>1755.1806807497896</v>
      </c>
      <c r="D57" s="6">
        <f t="shared" si="17"/>
        <v>389.98043718447036</v>
      </c>
      <c r="E57" s="6">
        <f t="shared" si="17"/>
        <v>368.82266981917462</v>
      </c>
      <c r="F57" s="6">
        <f t="shared" si="17"/>
        <v>68.497425319693775</v>
      </c>
      <c r="G57" s="6">
        <f t="shared" si="17"/>
        <v>216.18521254726258</v>
      </c>
      <c r="H57" s="6">
        <f t="shared" si="17"/>
        <v>0</v>
      </c>
      <c r="I57" s="6">
        <f t="shared" si="17"/>
        <v>0</v>
      </c>
      <c r="J57" s="6">
        <f t="shared" si="17"/>
        <v>0</v>
      </c>
    </row>
    <row r="58" spans="1:10" x14ac:dyDescent="0.25">
      <c r="A58" s="4" t="s">
        <v>124</v>
      </c>
      <c r="C58" s="6">
        <f t="shared" ref="C58:J58" si="18">C52/((1+C16)*(1+C16+(C104-C16)*1/5))</f>
        <v>1712.5617142224637</v>
      </c>
      <c r="D58" s="6">
        <f t="shared" si="18"/>
        <v>439.60907914078814</v>
      </c>
      <c r="E58" s="6">
        <f t="shared" si="18"/>
        <v>382.70767419049253</v>
      </c>
      <c r="F58" s="6">
        <f t="shared" si="18"/>
        <v>91.713071992949367</v>
      </c>
      <c r="G58" s="6">
        <f t="shared" si="18"/>
        <v>213.32719794596071</v>
      </c>
      <c r="H58" s="6">
        <f t="shared" si="18"/>
        <v>0</v>
      </c>
      <c r="I58" s="6">
        <f t="shared" si="18"/>
        <v>0</v>
      </c>
      <c r="J58" s="6">
        <f t="shared" si="18"/>
        <v>0</v>
      </c>
    </row>
    <row r="59" spans="1:10" x14ac:dyDescent="0.25">
      <c r="A59" s="4" t="s">
        <v>125</v>
      </c>
      <c r="C59" s="6">
        <f t="shared" ref="C59:J59" si="19">C53/((1+C16)*(1+C16+(C104-C16)*1/5)*(1+C16+(C104-C16)*2/5))</f>
        <v>1671.6700342726501</v>
      </c>
      <c r="D59" s="6">
        <f t="shared" si="19"/>
        <v>484.46029261543248</v>
      </c>
      <c r="E59" s="6">
        <f t="shared" si="19"/>
        <v>396.00854428082226</v>
      </c>
      <c r="F59" s="6">
        <f t="shared" si="19"/>
        <v>112.61033728563002</v>
      </c>
      <c r="G59" s="6">
        <f t="shared" si="19"/>
        <v>210.43872748707969</v>
      </c>
      <c r="H59" s="6">
        <f t="shared" si="19"/>
        <v>0</v>
      </c>
      <c r="I59" s="6">
        <f t="shared" si="19"/>
        <v>0</v>
      </c>
      <c r="J59" s="6">
        <f t="shared" si="19"/>
        <v>0</v>
      </c>
    </row>
    <row r="60" spans="1:10" x14ac:dyDescent="0.25">
      <c r="A60" s="4" t="s">
        <v>126</v>
      </c>
      <c r="C60" s="6">
        <f t="shared" ref="C60:J60" si="20">C54/((1+C16)*(1+C16+(C104-C16)*1/5)*(1+C16+(C104-C16)*2/5)*(1+C16+(C104-C16)*3/5))</f>
        <v>1632.4311550869052</v>
      </c>
      <c r="D60" s="6">
        <f t="shared" si="20"/>
        <v>524.92111746975286</v>
      </c>
      <c r="E60" s="6">
        <f t="shared" si="20"/>
        <v>408.80994099746692</v>
      </c>
      <c r="F60" s="6">
        <f t="shared" si="20"/>
        <v>131.38546098051845</v>
      </c>
      <c r="G60" s="6">
        <f t="shared" si="20"/>
        <v>207.53020729182956</v>
      </c>
      <c r="H60" s="6">
        <f t="shared" si="20"/>
        <v>0</v>
      </c>
      <c r="I60" s="6">
        <f t="shared" si="20"/>
        <v>0</v>
      </c>
      <c r="J60" s="6">
        <f t="shared" si="20"/>
        <v>0</v>
      </c>
    </row>
    <row r="61" spans="1:10" x14ac:dyDescent="0.25">
      <c r="A61" s="4" t="s">
        <v>127</v>
      </c>
      <c r="C61" s="6">
        <f t="shared" ref="C61:J61" si="21">C55/((1+C16)*(1+C16+(C104-C16)*1/5)*(1+C16+(C104-C16)*2/5)*(1+C16+(C104-C16)*3/5)*(1+C16+(C104-C16)*4/5))</f>
        <v>1594.77436780995</v>
      </c>
      <c r="D61" s="6">
        <f t="shared" si="21"/>
        <v>561.34838831369746</v>
      </c>
      <c r="E61" s="6">
        <f t="shared" si="21"/>
        <v>421.19058151299924</v>
      </c>
      <c r="F61" s="6">
        <f t="shared" si="21"/>
        <v>148.21861176920822</v>
      </c>
      <c r="G61" s="6">
        <f t="shared" si="21"/>
        <v>204.61096843200164</v>
      </c>
      <c r="H61" s="6">
        <f t="shared" si="21"/>
        <v>0</v>
      </c>
      <c r="I61" s="6">
        <f t="shared" si="21"/>
        <v>0</v>
      </c>
      <c r="J61" s="6">
        <f t="shared" si="21"/>
        <v>0</v>
      </c>
    </row>
    <row r="62" spans="1:10" x14ac:dyDescent="0.25">
      <c r="A62" s="3" t="s">
        <v>128</v>
      </c>
    </row>
    <row r="63" spans="1:10" x14ac:dyDescent="0.25">
      <c r="A63" s="4" t="s">
        <v>129</v>
      </c>
      <c r="C63" s="6">
        <f t="shared" ref="C63:J63" si="22">C25*(1+(C6+(C13-C6)*1/5))</f>
        <v>32134.972573940093</v>
      </c>
      <c r="D63" s="6">
        <f t="shared" si="22"/>
        <v>21599.071552429992</v>
      </c>
      <c r="E63" s="6">
        <f t="shared" si="22"/>
        <v>23062.962009588733</v>
      </c>
      <c r="F63" s="6">
        <f t="shared" si="22"/>
        <v>7749.4618973136849</v>
      </c>
      <c r="G63" s="6">
        <f t="shared" si="22"/>
        <v>21041.69106584242</v>
      </c>
      <c r="H63" s="6">
        <f t="shared" si="22"/>
        <v>0</v>
      </c>
      <c r="I63" s="6">
        <f t="shared" si="22"/>
        <v>0</v>
      </c>
      <c r="J63" s="6">
        <f t="shared" si="22"/>
        <v>0</v>
      </c>
    </row>
    <row r="64" spans="1:10" x14ac:dyDescent="0.25">
      <c r="A64" s="4" t="s">
        <v>130</v>
      </c>
      <c r="C64" s="6">
        <f t="shared" ref="C64:J64" si="23">C63*(1+(C6+(C13-C6)*2/5))</f>
        <v>33372.169018036788</v>
      </c>
      <c r="D64" s="6">
        <f t="shared" si="23"/>
        <v>22095.850198135879</v>
      </c>
      <c r="E64" s="6">
        <f t="shared" si="23"/>
        <v>23916.291603943515</v>
      </c>
      <c r="F64" s="6">
        <f t="shared" si="23"/>
        <v>7898.2515657421081</v>
      </c>
      <c r="G64" s="6">
        <f t="shared" si="23"/>
        <v>21521.441622143626</v>
      </c>
      <c r="H64" s="6">
        <f t="shared" si="23"/>
        <v>0</v>
      </c>
      <c r="I64" s="6">
        <f t="shared" si="23"/>
        <v>0</v>
      </c>
      <c r="J64" s="6">
        <f t="shared" si="23"/>
        <v>0</v>
      </c>
    </row>
    <row r="65" spans="1:10" x14ac:dyDescent="0.25">
      <c r="A65" s="4" t="s">
        <v>131</v>
      </c>
      <c r="C65" s="6">
        <f t="shared" ref="C65:J65" si="24">C64*(1+(C6+(C13-C6)*3/5))</f>
        <v>34506.822764650038</v>
      </c>
      <c r="D65" s="6">
        <f t="shared" si="24"/>
        <v>22581.958902494869</v>
      </c>
      <c r="E65" s="6">
        <f t="shared" si="24"/>
        <v>24705.529226873648</v>
      </c>
      <c r="F65" s="6">
        <f t="shared" si="24"/>
        <v>8046.7386951780591</v>
      </c>
      <c r="G65" s="6">
        <f t="shared" si="24"/>
        <v>21956.174742910927</v>
      </c>
      <c r="H65" s="6">
        <f t="shared" si="24"/>
        <v>0</v>
      </c>
      <c r="I65" s="6">
        <f t="shared" si="24"/>
        <v>0</v>
      </c>
      <c r="J65" s="6">
        <f t="shared" si="24"/>
        <v>0</v>
      </c>
    </row>
    <row r="66" spans="1:10" x14ac:dyDescent="0.25">
      <c r="A66" s="4" t="s">
        <v>132</v>
      </c>
      <c r="C66" s="6">
        <f t="shared" ref="C66:J66" si="25">C65*(1+(C6+(C13-C6)*4/5))</f>
        <v>35524.774036207215</v>
      </c>
      <c r="D66" s="6">
        <f t="shared" si="25"/>
        <v>23056.180039447259</v>
      </c>
      <c r="E66" s="6">
        <f t="shared" si="25"/>
        <v>25421.989574452982</v>
      </c>
      <c r="F66" s="6">
        <f t="shared" si="25"/>
        <v>8194.7986871693356</v>
      </c>
      <c r="G66" s="6">
        <f t="shared" si="25"/>
        <v>22342.603418386159</v>
      </c>
      <c r="H66" s="6">
        <f t="shared" si="25"/>
        <v>0</v>
      </c>
      <c r="I66" s="6">
        <f t="shared" si="25"/>
        <v>0</v>
      </c>
      <c r="J66" s="6">
        <f t="shared" si="25"/>
        <v>0</v>
      </c>
    </row>
    <row r="67" spans="1:10" x14ac:dyDescent="0.25">
      <c r="A67" s="4" t="s">
        <v>133</v>
      </c>
      <c r="C67" s="6">
        <f t="shared" ref="C67:J67" si="26">C66*(1+(C6+(C13-C6)*5/5))</f>
        <v>36412.893387112388</v>
      </c>
      <c r="D67" s="6">
        <f t="shared" si="26"/>
        <v>23517.303640236205</v>
      </c>
      <c r="E67" s="6">
        <f t="shared" si="26"/>
        <v>26057.539313814304</v>
      </c>
      <c r="F67" s="6">
        <f t="shared" si="26"/>
        <v>8342.3050635383843</v>
      </c>
      <c r="G67" s="6">
        <f t="shared" si="26"/>
        <v>22677.742469661949</v>
      </c>
      <c r="H67" s="6">
        <f t="shared" si="26"/>
        <v>0</v>
      </c>
      <c r="I67" s="6">
        <f t="shared" si="26"/>
        <v>0</v>
      </c>
      <c r="J67" s="6">
        <f t="shared" si="26"/>
        <v>0</v>
      </c>
    </row>
    <row r="69" spans="1:10" x14ac:dyDescent="0.25">
      <c r="A69" s="4" t="s">
        <v>134</v>
      </c>
      <c r="C69" s="11">
        <f t="shared" ref="C69:J69" si="27">IF(ISBLANK(C9),C7,C9)</f>
        <v>0.14000000000000001</v>
      </c>
      <c r="D69" s="11">
        <f t="shared" si="27"/>
        <v>0.06</v>
      </c>
      <c r="E69" s="11">
        <f t="shared" si="27"/>
        <v>7.0999999999999994E-2</v>
      </c>
      <c r="F69" s="11">
        <f t="shared" si="27"/>
        <v>0.06</v>
      </c>
      <c r="G69" s="11">
        <f t="shared" si="27"/>
        <v>0.06</v>
      </c>
      <c r="H69" s="11">
        <f t="shared" si="27"/>
        <v>0</v>
      </c>
      <c r="I69" s="11">
        <f t="shared" si="27"/>
        <v>0</v>
      </c>
      <c r="J69" s="11">
        <f t="shared" si="27"/>
        <v>0</v>
      </c>
    </row>
    <row r="70" spans="1:10" x14ac:dyDescent="0.25">
      <c r="A70" s="4" t="s">
        <v>135</v>
      </c>
      <c r="C70" s="11">
        <f t="shared" ref="C70:J70" si="28">IF(ISBLANK(C9),C7,C9)</f>
        <v>0.14000000000000001</v>
      </c>
      <c r="D70" s="11">
        <f t="shared" si="28"/>
        <v>0.06</v>
      </c>
      <c r="E70" s="11">
        <f t="shared" si="28"/>
        <v>7.0999999999999994E-2</v>
      </c>
      <c r="F70" s="11">
        <f t="shared" si="28"/>
        <v>0.06</v>
      </c>
      <c r="G70" s="11">
        <f t="shared" si="28"/>
        <v>0.06</v>
      </c>
      <c r="H70" s="11">
        <f t="shared" si="28"/>
        <v>0</v>
      </c>
      <c r="I70" s="11">
        <f t="shared" si="28"/>
        <v>0</v>
      </c>
      <c r="J70" s="11">
        <f t="shared" si="28"/>
        <v>0</v>
      </c>
    </row>
    <row r="71" spans="1:10" x14ac:dyDescent="0.25">
      <c r="A71" s="4" t="s">
        <v>136</v>
      </c>
      <c r="C71" s="11">
        <f t="shared" ref="C71:J71" si="29">IF(ISBLANK(C9),C7,C9)</f>
        <v>0.14000000000000001</v>
      </c>
      <c r="D71" s="11">
        <f t="shared" si="29"/>
        <v>0.06</v>
      </c>
      <c r="E71" s="11">
        <f t="shared" si="29"/>
        <v>7.0999999999999994E-2</v>
      </c>
      <c r="F71" s="11">
        <f t="shared" si="29"/>
        <v>0.06</v>
      </c>
      <c r="G71" s="11">
        <f t="shared" si="29"/>
        <v>0.06</v>
      </c>
      <c r="H71" s="11">
        <f t="shared" si="29"/>
        <v>0</v>
      </c>
      <c r="I71" s="11">
        <f t="shared" si="29"/>
        <v>0</v>
      </c>
      <c r="J71" s="11">
        <f t="shared" si="29"/>
        <v>0</v>
      </c>
    </row>
    <row r="72" spans="1:10" x14ac:dyDescent="0.25">
      <c r="A72" s="4" t="s">
        <v>137</v>
      </c>
      <c r="C72" s="11">
        <f t="shared" ref="C72:J72" si="30">IF(ISBLANK(C9),C7,C9)</f>
        <v>0.14000000000000001</v>
      </c>
      <c r="D72" s="11">
        <f t="shared" si="30"/>
        <v>0.06</v>
      </c>
      <c r="E72" s="11">
        <f t="shared" si="30"/>
        <v>7.0999999999999994E-2</v>
      </c>
      <c r="F72" s="11">
        <f t="shared" si="30"/>
        <v>0.06</v>
      </c>
      <c r="G72" s="11">
        <f t="shared" si="30"/>
        <v>0.06</v>
      </c>
      <c r="H72" s="11">
        <f t="shared" si="30"/>
        <v>0</v>
      </c>
      <c r="I72" s="11">
        <f t="shared" si="30"/>
        <v>0</v>
      </c>
      <c r="J72" s="11">
        <f t="shared" si="30"/>
        <v>0</v>
      </c>
    </row>
    <row r="73" spans="1:10" x14ac:dyDescent="0.25">
      <c r="A73" s="4" t="s">
        <v>138</v>
      </c>
      <c r="C73" s="11">
        <f t="shared" ref="C73:J73" si="31">IF(ISBLANK(C9),C7,C9)</f>
        <v>0.14000000000000001</v>
      </c>
      <c r="D73" s="11">
        <f t="shared" si="31"/>
        <v>0.06</v>
      </c>
      <c r="E73" s="11">
        <f t="shared" si="31"/>
        <v>7.0999999999999994E-2</v>
      </c>
      <c r="F73" s="11">
        <f t="shared" si="31"/>
        <v>0.06</v>
      </c>
      <c r="G73" s="11">
        <f t="shared" si="31"/>
        <v>0.06</v>
      </c>
      <c r="H73" s="11">
        <f t="shared" si="31"/>
        <v>0</v>
      </c>
      <c r="I73" s="11">
        <f t="shared" si="31"/>
        <v>0</v>
      </c>
      <c r="J73" s="11">
        <f t="shared" si="31"/>
        <v>0</v>
      </c>
    </row>
    <row r="75" spans="1:10" x14ac:dyDescent="0.25">
      <c r="A75" s="4" t="s">
        <v>139</v>
      </c>
      <c r="C75" s="6">
        <f t="shared" ref="C75:J79" si="32">C63*C69</f>
        <v>4498.8961603516136</v>
      </c>
      <c r="D75" s="6">
        <f t="shared" si="32"/>
        <v>1295.9442931457995</v>
      </c>
      <c r="E75" s="6">
        <f t="shared" si="32"/>
        <v>1637.4703026807999</v>
      </c>
      <c r="F75" s="6">
        <f t="shared" si="32"/>
        <v>464.96771383882106</v>
      </c>
      <c r="G75" s="6">
        <f t="shared" si="32"/>
        <v>1262.5014639505453</v>
      </c>
      <c r="H75" s="6">
        <f t="shared" si="32"/>
        <v>0</v>
      </c>
      <c r="I75" s="6">
        <f t="shared" si="32"/>
        <v>0</v>
      </c>
      <c r="J75" s="6">
        <f t="shared" si="32"/>
        <v>0</v>
      </c>
    </row>
    <row r="76" spans="1:10" x14ac:dyDescent="0.25">
      <c r="A76" s="4" t="s">
        <v>140</v>
      </c>
      <c r="C76" s="6">
        <f t="shared" si="32"/>
        <v>4672.1036625251509</v>
      </c>
      <c r="D76" s="6">
        <f t="shared" si="32"/>
        <v>1325.7510118881526</v>
      </c>
      <c r="E76" s="6">
        <f t="shared" si="32"/>
        <v>1698.0567038799893</v>
      </c>
      <c r="F76" s="6">
        <f t="shared" si="32"/>
        <v>473.89509394452648</v>
      </c>
      <c r="G76" s="6">
        <f t="shared" si="32"/>
        <v>1291.2864973286175</v>
      </c>
      <c r="H76" s="6">
        <f t="shared" si="32"/>
        <v>0</v>
      </c>
      <c r="I76" s="6">
        <f t="shared" si="32"/>
        <v>0</v>
      </c>
      <c r="J76" s="6">
        <f t="shared" si="32"/>
        <v>0</v>
      </c>
    </row>
    <row r="77" spans="1:10" x14ac:dyDescent="0.25">
      <c r="A77" s="4" t="s">
        <v>141</v>
      </c>
      <c r="C77" s="6">
        <f t="shared" si="32"/>
        <v>4830.9551870510059</v>
      </c>
      <c r="D77" s="6">
        <f t="shared" si="32"/>
        <v>1354.9175341496921</v>
      </c>
      <c r="E77" s="6">
        <f t="shared" si="32"/>
        <v>1754.092575108029</v>
      </c>
      <c r="F77" s="6">
        <f t="shared" si="32"/>
        <v>482.80432171068355</v>
      </c>
      <c r="G77" s="6">
        <f t="shared" si="32"/>
        <v>1317.3704845746556</v>
      </c>
      <c r="H77" s="6">
        <f t="shared" si="32"/>
        <v>0</v>
      </c>
      <c r="I77" s="6">
        <f t="shared" si="32"/>
        <v>0</v>
      </c>
      <c r="J77" s="6">
        <f t="shared" si="32"/>
        <v>0</v>
      </c>
    </row>
    <row r="78" spans="1:10" x14ac:dyDescent="0.25">
      <c r="A78" s="4" t="s">
        <v>142</v>
      </c>
      <c r="C78" s="6">
        <f t="shared" si="32"/>
        <v>4973.4683650690104</v>
      </c>
      <c r="D78" s="6">
        <f t="shared" si="32"/>
        <v>1383.3708023668355</v>
      </c>
      <c r="E78" s="6">
        <f t="shared" si="32"/>
        <v>1804.9612597861615</v>
      </c>
      <c r="F78" s="6">
        <f t="shared" si="32"/>
        <v>491.6879212301601</v>
      </c>
      <c r="G78" s="6">
        <f t="shared" si="32"/>
        <v>1340.5562051031695</v>
      </c>
      <c r="H78" s="6">
        <f t="shared" si="32"/>
        <v>0</v>
      </c>
      <c r="I78" s="6">
        <f t="shared" si="32"/>
        <v>0</v>
      </c>
      <c r="J78" s="6">
        <f t="shared" si="32"/>
        <v>0</v>
      </c>
    </row>
    <row r="79" spans="1:10" x14ac:dyDescent="0.25">
      <c r="A79" s="4" t="s">
        <v>143</v>
      </c>
      <c r="C79" s="6">
        <f t="shared" si="32"/>
        <v>5097.805074195735</v>
      </c>
      <c r="D79" s="6">
        <f t="shared" si="32"/>
        <v>1411.0382184141722</v>
      </c>
      <c r="E79" s="6">
        <f t="shared" si="32"/>
        <v>1850.0852912808155</v>
      </c>
      <c r="F79" s="6">
        <f t="shared" si="32"/>
        <v>500.53830381230301</v>
      </c>
      <c r="G79" s="6">
        <f t="shared" si="32"/>
        <v>1360.6645481797168</v>
      </c>
      <c r="H79" s="6">
        <f t="shared" si="32"/>
        <v>0</v>
      </c>
      <c r="I79" s="6">
        <f t="shared" si="32"/>
        <v>0</v>
      </c>
      <c r="J79" s="6">
        <f t="shared" si="32"/>
        <v>0</v>
      </c>
    </row>
    <row r="81" spans="1:10" x14ac:dyDescent="0.25">
      <c r="A81" s="4" t="s">
        <v>144</v>
      </c>
      <c r="C81" s="6">
        <f>C75*(1-Inputs!B22)</f>
        <v>3180.7195853685912</v>
      </c>
      <c r="D81" s="6">
        <f>D75*(1-Inputs!B22)</f>
        <v>916.23261525408032</v>
      </c>
      <c r="E81" s="6">
        <f>E75*(1-Inputs!B22)</f>
        <v>1157.6915039953258</v>
      </c>
      <c r="F81" s="6">
        <f>F75*(1-Inputs!B22)</f>
        <v>328.73217368404653</v>
      </c>
      <c r="G81" s="6">
        <f>G75*(1-Inputs!B22)</f>
        <v>892.58853501303554</v>
      </c>
      <c r="H81" s="6">
        <f>H75*(1-Inputs!B22)</f>
        <v>0</v>
      </c>
      <c r="I81" s="6">
        <f>I75*(1-Inputs!B22)</f>
        <v>0</v>
      </c>
      <c r="J81" s="6">
        <f>J75*(1-Inputs!B22)</f>
        <v>0</v>
      </c>
    </row>
    <row r="82" spans="1:10" x14ac:dyDescent="0.25">
      <c r="A82" s="4" t="s">
        <v>145</v>
      </c>
      <c r="C82" s="6">
        <f>C76*(1-Inputs!B22)</f>
        <v>3303.177289405282</v>
      </c>
      <c r="D82" s="6">
        <f>D76*(1-Inputs!B22)</f>
        <v>937.305965404924</v>
      </c>
      <c r="E82" s="6">
        <f>E76*(1-Inputs!B22)</f>
        <v>1200.5260896431525</v>
      </c>
      <c r="F82" s="6">
        <f>F76*(1-Inputs!B22)</f>
        <v>335.04383141878026</v>
      </c>
      <c r="G82" s="6">
        <f>G76*(1-Inputs!B22)</f>
        <v>912.93955361133271</v>
      </c>
      <c r="H82" s="6">
        <f>H76*(1-Inputs!B22)</f>
        <v>0</v>
      </c>
      <c r="I82" s="6">
        <f>I76*(1-Inputs!B22)</f>
        <v>0</v>
      </c>
      <c r="J82" s="6">
        <f>J76*(1-Inputs!B22)</f>
        <v>0</v>
      </c>
    </row>
    <row r="83" spans="1:10" x14ac:dyDescent="0.25">
      <c r="A83" s="4" t="s">
        <v>146</v>
      </c>
      <c r="C83" s="6">
        <f>C77*(1-Inputs!B22)</f>
        <v>3415.4853172450617</v>
      </c>
      <c r="D83" s="6">
        <f>D77*(1-Inputs!B22)</f>
        <v>957.92669664383243</v>
      </c>
      <c r="E83" s="6">
        <f>E77*(1-Inputs!B22)</f>
        <v>1240.1434506013766</v>
      </c>
      <c r="F83" s="6">
        <f>F77*(1-Inputs!B22)</f>
        <v>341.34265544945333</v>
      </c>
      <c r="G83" s="6">
        <f>G77*(1-Inputs!B22)</f>
        <v>931.3809325942816</v>
      </c>
      <c r="H83" s="6">
        <f>H77*(1-Inputs!B22)</f>
        <v>0</v>
      </c>
      <c r="I83" s="6">
        <f>I77*(1-Inputs!B22)</f>
        <v>0</v>
      </c>
      <c r="J83" s="6">
        <f>J77*(1-Inputs!B22)</f>
        <v>0</v>
      </c>
    </row>
    <row r="84" spans="1:10" x14ac:dyDescent="0.25">
      <c r="A84" s="4" t="s">
        <v>147</v>
      </c>
      <c r="C84" s="6">
        <f>C78*(1-Inputs!B22)</f>
        <v>3516.2421341037907</v>
      </c>
      <c r="D84" s="6">
        <f>D78*(1-Inputs!B22)</f>
        <v>978.04315727335279</v>
      </c>
      <c r="E84" s="6">
        <f>E78*(1-Inputs!B22)</f>
        <v>1276.1076106688163</v>
      </c>
      <c r="F84" s="6">
        <f>F78*(1-Inputs!B22)</f>
        <v>347.62336030972324</v>
      </c>
      <c r="G84" s="6">
        <f>G78*(1-Inputs!B22)</f>
        <v>947.77323700794091</v>
      </c>
      <c r="H84" s="6">
        <f>H78*(1-Inputs!B22)</f>
        <v>0</v>
      </c>
      <c r="I84" s="6">
        <f>I78*(1-Inputs!B22)</f>
        <v>0</v>
      </c>
      <c r="J84" s="6">
        <f>J78*(1-Inputs!B22)</f>
        <v>0</v>
      </c>
    </row>
    <row r="85" spans="1:10" x14ac:dyDescent="0.25">
      <c r="A85" s="4" t="s">
        <v>148</v>
      </c>
      <c r="C85" s="6">
        <f>C79*(1-Inputs!B22)</f>
        <v>3604.1481874563851</v>
      </c>
      <c r="D85" s="6">
        <f>D79*(1-Inputs!B22)</f>
        <v>997.6040204188198</v>
      </c>
      <c r="E85" s="6">
        <f>E79*(1-Inputs!B22)</f>
        <v>1308.0103009355366</v>
      </c>
      <c r="F85" s="6">
        <f>F79*(1-Inputs!B22)</f>
        <v>353.88058079529827</v>
      </c>
      <c r="G85" s="6">
        <f>G79*(1-Inputs!B22)</f>
        <v>961.98983556305984</v>
      </c>
      <c r="H85" s="6">
        <f>H79*(1-Inputs!B22)</f>
        <v>0</v>
      </c>
      <c r="I85" s="6">
        <f>I79*(1-Inputs!B22)</f>
        <v>0</v>
      </c>
      <c r="J85" s="6">
        <f>J79*(1-Inputs!B22)</f>
        <v>0</v>
      </c>
    </row>
    <row r="87" spans="1:10" x14ac:dyDescent="0.25">
      <c r="A87" s="4" t="s">
        <v>149</v>
      </c>
      <c r="C87" s="6">
        <f t="shared" ref="C87:J87" si="33">C63*MAX(IF(ISBLANK(C26),C12,C26),0)</f>
        <v>841.93628143723049</v>
      </c>
      <c r="D87" s="6">
        <f t="shared" si="33"/>
        <v>107.99535776214996</v>
      </c>
      <c r="E87" s="6">
        <f t="shared" si="33"/>
        <v>535.06071862245858</v>
      </c>
      <c r="F87" s="6">
        <f t="shared" si="33"/>
        <v>116.24192845970526</v>
      </c>
      <c r="G87" s="6">
        <f t="shared" si="33"/>
        <v>597.58402626992472</v>
      </c>
      <c r="H87" s="6">
        <f t="shared" si="33"/>
        <v>0</v>
      </c>
      <c r="I87" s="6">
        <f t="shared" si="33"/>
        <v>0</v>
      </c>
      <c r="J87" s="6">
        <f t="shared" si="33"/>
        <v>0</v>
      </c>
    </row>
    <row r="88" spans="1:10" x14ac:dyDescent="0.25">
      <c r="A88" s="4" t="s">
        <v>150</v>
      </c>
      <c r="C88" s="6">
        <f t="shared" ref="C88:J88" si="34">C64*MAX(IF(ISBLANK(C26),C12,C26),0)</f>
        <v>874.35082827256383</v>
      </c>
      <c r="D88" s="6">
        <f t="shared" si="34"/>
        <v>110.47925099067939</v>
      </c>
      <c r="E88" s="6">
        <f t="shared" si="34"/>
        <v>554.8579652114895</v>
      </c>
      <c r="F88" s="6">
        <f t="shared" si="34"/>
        <v>118.47377348613162</v>
      </c>
      <c r="G88" s="6">
        <f t="shared" si="34"/>
        <v>611.20894206887897</v>
      </c>
      <c r="H88" s="6">
        <f t="shared" si="34"/>
        <v>0</v>
      </c>
      <c r="I88" s="6">
        <f t="shared" si="34"/>
        <v>0</v>
      </c>
      <c r="J88" s="6">
        <f t="shared" si="34"/>
        <v>0</v>
      </c>
    </row>
    <row r="89" spans="1:10" x14ac:dyDescent="0.25">
      <c r="A89" s="4" t="s">
        <v>151</v>
      </c>
      <c r="C89" s="6">
        <f t="shared" ref="C89:J89" si="35">C65*MAX(IF(ISBLANK(C26),C12,C26),0)</f>
        <v>904.07875643383102</v>
      </c>
      <c r="D89" s="6">
        <f t="shared" si="35"/>
        <v>112.90979451247435</v>
      </c>
      <c r="E89" s="6">
        <f t="shared" si="35"/>
        <v>573.16827806346862</v>
      </c>
      <c r="F89" s="6">
        <f t="shared" si="35"/>
        <v>120.70108042767089</v>
      </c>
      <c r="G89" s="6">
        <f t="shared" si="35"/>
        <v>623.55536269867036</v>
      </c>
      <c r="H89" s="6">
        <f t="shared" si="35"/>
        <v>0</v>
      </c>
      <c r="I89" s="6">
        <f t="shared" si="35"/>
        <v>0</v>
      </c>
      <c r="J89" s="6">
        <f t="shared" si="35"/>
        <v>0</v>
      </c>
    </row>
    <row r="90" spans="1:10" x14ac:dyDescent="0.25">
      <c r="A90" s="4" t="s">
        <v>152</v>
      </c>
      <c r="C90" s="6">
        <f t="shared" ref="C90:J90" si="36">C66*MAX(IF(ISBLANK(C26),C12,C26),0)</f>
        <v>930.74907974862901</v>
      </c>
      <c r="D90" s="6">
        <f t="shared" si="36"/>
        <v>115.28090019723629</v>
      </c>
      <c r="E90" s="6">
        <f t="shared" si="36"/>
        <v>589.79015812730916</v>
      </c>
      <c r="F90" s="6">
        <f t="shared" si="36"/>
        <v>122.92198030754003</v>
      </c>
      <c r="G90" s="6">
        <f t="shared" si="36"/>
        <v>634.52993708216695</v>
      </c>
      <c r="H90" s="6">
        <f t="shared" si="36"/>
        <v>0</v>
      </c>
      <c r="I90" s="6">
        <f t="shared" si="36"/>
        <v>0</v>
      </c>
      <c r="J90" s="6">
        <f t="shared" si="36"/>
        <v>0</v>
      </c>
    </row>
    <row r="91" spans="1:10" x14ac:dyDescent="0.25">
      <c r="A91" s="4" t="s">
        <v>153</v>
      </c>
      <c r="C91" s="6">
        <f t="shared" ref="C91:J91" si="37">C67*MAX(IF(ISBLANK(C26),C12,C26),0)</f>
        <v>954.01780674234465</v>
      </c>
      <c r="D91" s="6">
        <f t="shared" si="37"/>
        <v>117.58651820118102</v>
      </c>
      <c r="E91" s="6">
        <f t="shared" si="37"/>
        <v>604.53491208049184</v>
      </c>
      <c r="F91" s="6">
        <f t="shared" si="37"/>
        <v>125.13457595307575</v>
      </c>
      <c r="G91" s="6">
        <f t="shared" si="37"/>
        <v>644.04788613839935</v>
      </c>
      <c r="H91" s="6">
        <f t="shared" si="37"/>
        <v>0</v>
      </c>
      <c r="I91" s="6">
        <f t="shared" si="37"/>
        <v>0</v>
      </c>
      <c r="J91" s="6">
        <f t="shared" si="37"/>
        <v>0</v>
      </c>
    </row>
    <row r="93" spans="1:10" x14ac:dyDescent="0.25">
      <c r="A93" s="4" t="s">
        <v>154</v>
      </c>
      <c r="C93" s="6">
        <f t="shared" ref="C93:J97" si="38">C81-C87</f>
        <v>2338.7833039313609</v>
      </c>
      <c r="D93" s="6">
        <f t="shared" si="38"/>
        <v>808.23725749193034</v>
      </c>
      <c r="E93" s="6">
        <f t="shared" si="38"/>
        <v>622.63078537286719</v>
      </c>
      <c r="F93" s="6">
        <f t="shared" si="38"/>
        <v>212.49024522434127</v>
      </c>
      <c r="G93" s="6">
        <f t="shared" si="38"/>
        <v>295.00450874311082</v>
      </c>
      <c r="H93" s="6">
        <f t="shared" si="38"/>
        <v>0</v>
      </c>
      <c r="I93" s="6">
        <f t="shared" si="38"/>
        <v>0</v>
      </c>
      <c r="J93" s="6">
        <f t="shared" si="38"/>
        <v>0</v>
      </c>
    </row>
    <row r="94" spans="1:10" x14ac:dyDescent="0.25">
      <c r="A94" s="4" t="s">
        <v>155</v>
      </c>
      <c r="C94" s="6">
        <f t="shared" si="38"/>
        <v>2428.8264611327181</v>
      </c>
      <c r="D94" s="6">
        <f t="shared" si="38"/>
        <v>826.82671441424463</v>
      </c>
      <c r="E94" s="6">
        <f t="shared" si="38"/>
        <v>645.66812443166305</v>
      </c>
      <c r="F94" s="6">
        <f t="shared" si="38"/>
        <v>216.57005793264864</v>
      </c>
      <c r="G94" s="6">
        <f t="shared" si="38"/>
        <v>301.73061154245374</v>
      </c>
      <c r="H94" s="6">
        <f t="shared" si="38"/>
        <v>0</v>
      </c>
      <c r="I94" s="6">
        <f t="shared" si="38"/>
        <v>0</v>
      </c>
      <c r="J94" s="6">
        <f t="shared" si="38"/>
        <v>0</v>
      </c>
    </row>
    <row r="95" spans="1:10" x14ac:dyDescent="0.25">
      <c r="A95" s="4" t="s">
        <v>156</v>
      </c>
      <c r="C95" s="6">
        <f t="shared" si="38"/>
        <v>2511.4065608112305</v>
      </c>
      <c r="D95" s="6">
        <f t="shared" si="38"/>
        <v>845.01690213135805</v>
      </c>
      <c r="E95" s="6">
        <f t="shared" si="38"/>
        <v>666.97517253790795</v>
      </c>
      <c r="F95" s="6">
        <f t="shared" si="38"/>
        <v>220.64157502178244</v>
      </c>
      <c r="G95" s="6">
        <f t="shared" si="38"/>
        <v>307.82556989561124</v>
      </c>
      <c r="H95" s="6">
        <f t="shared" si="38"/>
        <v>0</v>
      </c>
      <c r="I95" s="6">
        <f t="shared" si="38"/>
        <v>0</v>
      </c>
      <c r="J95" s="6">
        <f t="shared" si="38"/>
        <v>0</v>
      </c>
    </row>
    <row r="96" spans="1:10" x14ac:dyDescent="0.25">
      <c r="A96" s="4" t="s">
        <v>157</v>
      </c>
      <c r="C96" s="6">
        <f t="shared" si="38"/>
        <v>2585.4930543551618</v>
      </c>
      <c r="D96" s="6">
        <f t="shared" si="38"/>
        <v>862.7622570761165</v>
      </c>
      <c r="E96" s="6">
        <f t="shared" si="38"/>
        <v>686.31745254150712</v>
      </c>
      <c r="F96" s="6">
        <f t="shared" si="38"/>
        <v>224.70138000218321</v>
      </c>
      <c r="G96" s="6">
        <f t="shared" si="38"/>
        <v>313.24329992577395</v>
      </c>
      <c r="H96" s="6">
        <f t="shared" si="38"/>
        <v>0</v>
      </c>
      <c r="I96" s="6">
        <f t="shared" si="38"/>
        <v>0</v>
      </c>
      <c r="J96" s="6">
        <f t="shared" si="38"/>
        <v>0</v>
      </c>
    </row>
    <row r="97" spans="1:11" x14ac:dyDescent="0.25">
      <c r="A97" s="4" t="s">
        <v>158</v>
      </c>
      <c r="C97" s="6">
        <f t="shared" si="38"/>
        <v>2650.1303807140403</v>
      </c>
      <c r="D97" s="6">
        <f t="shared" si="38"/>
        <v>880.01750221763882</v>
      </c>
      <c r="E97" s="6">
        <f t="shared" si="38"/>
        <v>703.4753888550448</v>
      </c>
      <c r="F97" s="6">
        <f t="shared" si="38"/>
        <v>228.74600484222253</v>
      </c>
      <c r="G97" s="6">
        <f t="shared" si="38"/>
        <v>317.94194942466049</v>
      </c>
      <c r="H97" s="6">
        <f t="shared" si="38"/>
        <v>0</v>
      </c>
      <c r="I97" s="6">
        <f t="shared" si="38"/>
        <v>0</v>
      </c>
      <c r="J97" s="6">
        <f t="shared" si="38"/>
        <v>0</v>
      </c>
    </row>
    <row r="99" spans="1:11" x14ac:dyDescent="0.25">
      <c r="A99" s="4" t="s">
        <v>159</v>
      </c>
      <c r="C99" s="6">
        <f t="shared" ref="C99:J99" si="39">C93/(((1+C16)*(1+C16+(C104-C16)*1/5)*(1+C16+(C104-C16)*2/5)*(1+C16+(C104-C16)*3/5)*(1+C16+(C104-C16)*4/5))*(1+C104)^1)</f>
        <v>1555.7148754696302</v>
      </c>
      <c r="D99" s="6">
        <f t="shared" si="39"/>
        <v>537.62429476701777</v>
      </c>
      <c r="E99" s="6">
        <f t="shared" si="39"/>
        <v>410.0868372655849</v>
      </c>
      <c r="F99" s="6">
        <f t="shared" si="39"/>
        <v>141.34453364363463</v>
      </c>
      <c r="G99" s="6">
        <f t="shared" si="39"/>
        <v>196.23147720047911</v>
      </c>
      <c r="H99" s="6">
        <f t="shared" si="39"/>
        <v>0</v>
      </c>
      <c r="I99" s="6">
        <f t="shared" si="39"/>
        <v>0</v>
      </c>
      <c r="J99" s="6">
        <f t="shared" si="39"/>
        <v>0</v>
      </c>
    </row>
    <row r="100" spans="1:11" x14ac:dyDescent="0.25">
      <c r="A100" s="4" t="s">
        <v>160</v>
      </c>
      <c r="C100" s="6">
        <f t="shared" ref="C100:J100" si="40">C94/(((1+C16)*(1+C16+(C104-C16)*1/5)*(1+C16+(C104-C16)*2/5)*(1+C16+(C104-C16)*3/5)*(1+C16+(C104-C16)*4/5))*(1+C104)^2)</f>
        <v>1511.0643321057566</v>
      </c>
      <c r="D100" s="6">
        <f t="shared" si="40"/>
        <v>514.40001044820951</v>
      </c>
      <c r="E100" s="6">
        <f t="shared" si="40"/>
        <v>397.7416172800294</v>
      </c>
      <c r="F100" s="6">
        <f t="shared" si="40"/>
        <v>134.73638202685112</v>
      </c>
      <c r="G100" s="6">
        <f t="shared" si="40"/>
        <v>187.71796680509971</v>
      </c>
      <c r="H100" s="6">
        <f t="shared" si="40"/>
        <v>0</v>
      </c>
      <c r="I100" s="6">
        <f t="shared" si="40"/>
        <v>0</v>
      </c>
      <c r="J100" s="6">
        <f t="shared" si="40"/>
        <v>0</v>
      </c>
    </row>
    <row r="101" spans="1:11" x14ac:dyDescent="0.25">
      <c r="A101" s="4" t="s">
        <v>161</v>
      </c>
      <c r="C101" s="6">
        <f t="shared" ref="C101:J101" si="41">C95/(((1+C16)*(1+C16+(C104-C16)*1/5)*(1+C16+(C104-C16)*2/5)*(1+C16+(C104-C16)*3/5)*(1+C16+(C104-C16)*4/5))*(1+C104)^3)</f>
        <v>1461.3355257137016</v>
      </c>
      <c r="D101" s="6">
        <f t="shared" si="41"/>
        <v>491.69785497184148</v>
      </c>
      <c r="E101" s="6">
        <f t="shared" si="41"/>
        <v>384.28002119751568</v>
      </c>
      <c r="F101" s="6">
        <f t="shared" si="41"/>
        <v>128.38676821987926</v>
      </c>
      <c r="G101" s="6">
        <f t="shared" si="41"/>
        <v>179.11733131182766</v>
      </c>
      <c r="H101" s="6">
        <f t="shared" si="41"/>
        <v>0</v>
      </c>
      <c r="I101" s="6">
        <f t="shared" si="41"/>
        <v>0</v>
      </c>
      <c r="J101" s="6">
        <f t="shared" si="41"/>
        <v>0</v>
      </c>
    </row>
    <row r="102" spans="1:11" x14ac:dyDescent="0.25">
      <c r="A102" s="4" t="s">
        <v>162</v>
      </c>
      <c r="C102" s="6">
        <f t="shared" ref="C102:J102" si="42">C96/(((1+C16)*(1+C16+(C104-C16)*1/5)*(1+C16+(C104-C16)*2/5)*(1+C16+(C104-C16)*3/5)*(1+C16+(C104-C16)*4/5))*(1+C104)^4)</f>
        <v>1407.0928052755273</v>
      </c>
      <c r="D102" s="6">
        <f t="shared" si="42"/>
        <v>469.53773963931775</v>
      </c>
      <c r="E102" s="6">
        <f t="shared" si="42"/>
        <v>369.83638031735461</v>
      </c>
      <c r="F102" s="6">
        <f t="shared" si="42"/>
        <v>122.28835602709073</v>
      </c>
      <c r="G102" s="6">
        <f t="shared" si="42"/>
        <v>170.47517992124313</v>
      </c>
      <c r="H102" s="6">
        <f t="shared" si="42"/>
        <v>0</v>
      </c>
      <c r="I102" s="6">
        <f t="shared" si="42"/>
        <v>0</v>
      </c>
      <c r="J102" s="6">
        <f t="shared" si="42"/>
        <v>0</v>
      </c>
    </row>
    <row r="103" spans="1:11" x14ac:dyDescent="0.25">
      <c r="A103" s="4" t="s">
        <v>163</v>
      </c>
      <c r="C103" s="6">
        <f t="shared" ref="C103:J103" si="43">C97/(((1+C16)*(1+C16+(C104-C16)*1/5)*(1+C16+(C104-C16)*2/5)*(1+C16+(C104-C16)*3/5)*(1+C16+(C104-C16)*4/5))*(1+C104)^5)</f>
        <v>1348.9413169765642</v>
      </c>
      <c r="D103" s="6">
        <f t="shared" si="43"/>
        <v>447.9371947292808</v>
      </c>
      <c r="E103" s="6">
        <f t="shared" si="43"/>
        <v>354.55200400477429</v>
      </c>
      <c r="F103" s="6">
        <f t="shared" si="43"/>
        <v>116.43387029956493</v>
      </c>
      <c r="G103" s="6">
        <f t="shared" si="43"/>
        <v>161.83544594641441</v>
      </c>
      <c r="H103" s="6">
        <f t="shared" si="43"/>
        <v>0</v>
      </c>
      <c r="I103" s="6">
        <f t="shared" si="43"/>
        <v>0</v>
      </c>
      <c r="J103" s="6">
        <f t="shared" si="43"/>
        <v>0</v>
      </c>
    </row>
    <row r="104" spans="1:11" x14ac:dyDescent="0.25">
      <c r="A104" s="4" t="s">
        <v>164</v>
      </c>
      <c r="C104" s="11">
        <f>MAX((Inputs!B18+((1+(1-Inputs!B22)*(Inputs!B36/(1-Inputs!B36)))/(1+(1-Inputs!B22)*0.25))*Inputs!B19+IF(ISBLANK(C17),Inputs!B24,C17)+Inputs!B25+Inputs!B39)*(1-Inputs!B36)+Inputs!B38*Inputs!B36,C15)</f>
        <v>6.918670757304142E-2</v>
      </c>
      <c r="D104" s="11">
        <f>MAX((Inputs!B18+((1+(1-Inputs!B22)*(Inputs!B36/(1-Inputs!B36)))/(1+(1-Inputs!B22)*0.25))*Inputs!B19+IF(ISBLANK(D17),Inputs!B24,D17)+Inputs!B25+Inputs!B39)*(1-Inputs!B36)+Inputs!B38*Inputs!B36,D15)</f>
        <v>6.918670757304142E-2</v>
      </c>
      <c r="E104" s="11">
        <f>MAX((Inputs!B18+((1+(1-Inputs!B22)*(Inputs!B36/(1-Inputs!B36)))/(1+(1-Inputs!B22)*0.25))*Inputs!B19+IF(ISBLANK(E17),Inputs!B24,E17)+Inputs!B25+Inputs!B39)*(1-Inputs!B36)+Inputs!B38*Inputs!B36,E15)</f>
        <v>6.918670757304142E-2</v>
      </c>
      <c r="F104" s="11">
        <f>MAX((Inputs!B18+((1+(1-Inputs!B22)*(Inputs!B36/(1-Inputs!B36)))/(1+(1-Inputs!B22)*0.25))*Inputs!B19+IF(ISBLANK(F17),Inputs!B24,F17)+Inputs!B25+Inputs!B39)*(1-Inputs!B36)+Inputs!B38*Inputs!B36,F15)</f>
        <v>6.918670757304142E-2</v>
      </c>
      <c r="G104" s="11">
        <f>MAX((Inputs!B18+((1+(1-Inputs!B22)*(Inputs!B36/(1-Inputs!B36)))/(1+(1-Inputs!B22)*0.25))*Inputs!B19+IF(ISBLANK(G17),Inputs!B24,G17)+Inputs!B25+Inputs!B39)*(1-Inputs!B36)+Inputs!B38*Inputs!B36,G15)</f>
        <v>6.918670757304142E-2</v>
      </c>
      <c r="H104" s="11">
        <f>MAX((Inputs!B18+((1+(1-Inputs!B22)*(Inputs!B36/(1-Inputs!B36)))/(1+(1-Inputs!B22)*0.25))*Inputs!B19+IF(ISBLANK(H17),Inputs!B24,H17)+Inputs!B25+Inputs!B39)*(1-Inputs!B36)+Inputs!B38*Inputs!B36,H15)</f>
        <v>6.918670757304142E-2</v>
      </c>
      <c r="I104" s="11">
        <f>MAX((Inputs!B18+((1+(1-Inputs!B22)*(Inputs!B36/(1-Inputs!B36)))/(1+(1-Inputs!B22)*0.25))*Inputs!B19+IF(ISBLANK(I17),Inputs!B24,I17)+Inputs!B25+Inputs!B39)*(1-Inputs!B36)+Inputs!B38*Inputs!B36,I15)</f>
        <v>6.918670757304142E-2</v>
      </c>
      <c r="J104" s="11">
        <f>MAX((Inputs!B18+((1+(1-Inputs!B22)*(Inputs!B36/(1-Inputs!B36)))/(1+(1-Inputs!B22)*0.25))*Inputs!B19+IF(ISBLANK(J17),Inputs!B24,J17)+Inputs!B25+Inputs!B39)*(1-Inputs!B36)+Inputs!B38*Inputs!B36,J15)</f>
        <v>6.918670757304142E-2</v>
      </c>
    </row>
    <row r="105" spans="1:11" x14ac:dyDescent="0.25">
      <c r="A105" s="4" t="s">
        <v>165</v>
      </c>
      <c r="C105" s="6">
        <f t="shared" ref="C105:J105" si="44">SUM(C57:C61,C99:C103)</f>
        <v>15650.766807682938</v>
      </c>
      <c r="D105" s="6">
        <f t="shared" si="44"/>
        <v>4861.5164092798086</v>
      </c>
      <c r="E105" s="6">
        <f t="shared" si="44"/>
        <v>3894.0362708662151</v>
      </c>
      <c r="F105" s="6">
        <f t="shared" si="44"/>
        <v>1195.6148175650203</v>
      </c>
      <c r="G105" s="6">
        <f t="shared" si="44"/>
        <v>1947.469714889198</v>
      </c>
      <c r="H105" s="6">
        <f t="shared" si="44"/>
        <v>0</v>
      </c>
      <c r="I105" s="6">
        <f t="shared" si="44"/>
        <v>0</v>
      </c>
      <c r="J105" s="6">
        <f t="shared" si="44"/>
        <v>0</v>
      </c>
    </row>
    <row r="106" spans="1:11" x14ac:dyDescent="0.25">
      <c r="A106" s="4" t="s">
        <v>166</v>
      </c>
      <c r="C106" s="6">
        <f t="shared" ref="C106:J106" si="45">IF(C5=0,0,C97*(1+C13)/(C104-C13))</f>
        <v>61475.131084199027</v>
      </c>
      <c r="D106" s="6">
        <f t="shared" si="45"/>
        <v>18249.195698432235</v>
      </c>
      <c r="E106" s="6">
        <f t="shared" si="45"/>
        <v>16318.533631058435</v>
      </c>
      <c r="F106" s="6">
        <f t="shared" si="45"/>
        <v>4549.2950019708851</v>
      </c>
      <c r="G106" s="6">
        <f t="shared" si="45"/>
        <v>5955.5395247262304</v>
      </c>
      <c r="H106" s="6">
        <f t="shared" si="45"/>
        <v>0</v>
      </c>
      <c r="I106" s="6">
        <f t="shared" si="45"/>
        <v>0</v>
      </c>
      <c r="J106" s="6">
        <f t="shared" si="45"/>
        <v>0</v>
      </c>
    </row>
    <row r="107" spans="1:11" x14ac:dyDescent="0.25">
      <c r="A107" s="4" t="s">
        <v>167</v>
      </c>
      <c r="C107" s="6">
        <f t="shared" ref="C107:J107" si="46">C106/(((1+C16)*(1+C16+(C104-C16)*1/5)*(1+C16+(C104-C16)*2/5)*(1+C16+(C104-C16)*3/5)*(1+C16+(C104-C16)*4/5))*(1+C104)^5)</f>
        <v>31291.420561611394</v>
      </c>
      <c r="D107" s="6">
        <f t="shared" si="46"/>
        <v>9289.0124419363474</v>
      </c>
      <c r="E107" s="6">
        <f t="shared" si="46"/>
        <v>8224.5504149446024</v>
      </c>
      <c r="F107" s="6">
        <f t="shared" si="46"/>
        <v>2315.6339914189621</v>
      </c>
      <c r="G107" s="6">
        <f t="shared" si="46"/>
        <v>3031.4256944692743</v>
      </c>
      <c r="H107" s="6">
        <f t="shared" si="46"/>
        <v>0</v>
      </c>
      <c r="I107" s="6">
        <f t="shared" si="46"/>
        <v>0</v>
      </c>
      <c r="J107" s="6">
        <f t="shared" si="46"/>
        <v>0</v>
      </c>
    </row>
    <row r="109" spans="1:11" x14ac:dyDescent="0.25">
      <c r="A109" s="19" t="s">
        <v>168</v>
      </c>
      <c r="C109" s="20">
        <f t="shared" ref="C109:J109" si="47">C105+C107</f>
        <v>46942.187369294334</v>
      </c>
      <c r="D109" s="20">
        <f t="shared" si="47"/>
        <v>14150.528851216157</v>
      </c>
      <c r="E109" s="20">
        <f t="shared" si="47"/>
        <v>12118.586685810817</v>
      </c>
      <c r="F109" s="20">
        <f t="shared" si="47"/>
        <v>3511.2488089839826</v>
      </c>
      <c r="G109" s="20">
        <f t="shared" si="47"/>
        <v>4978.8954093584725</v>
      </c>
      <c r="H109" s="20">
        <f t="shared" si="47"/>
        <v>0</v>
      </c>
      <c r="I109" s="20">
        <f t="shared" si="47"/>
        <v>0</v>
      </c>
      <c r="J109" s="20">
        <f t="shared" si="47"/>
        <v>0</v>
      </c>
      <c r="K109" s="20">
        <f>SUM(C109:J109)</f>
        <v>81701.447124663755</v>
      </c>
    </row>
    <row r="110" spans="1:11" x14ac:dyDescent="0.25">
      <c r="A110" s="4" t="s">
        <v>169</v>
      </c>
      <c r="K110" s="11">
        <f>IFERROR(SUMPRODUCT(C109:J109,C16:J16)/SUM(C109:J109),0)</f>
        <v>7.1960092570918344E-2</v>
      </c>
    </row>
    <row r="111" spans="1:11" x14ac:dyDescent="0.25">
      <c r="A111" s="4" t="s">
        <v>170</v>
      </c>
      <c r="K111" s="5">
        <v>7523</v>
      </c>
    </row>
    <row r="112" spans="1:11" x14ac:dyDescent="0.25">
      <c r="A112" s="4" t="s">
        <v>171</v>
      </c>
      <c r="K112" s="5">
        <v>396</v>
      </c>
    </row>
    <row r="113" spans="1:11" x14ac:dyDescent="0.25">
      <c r="A113" s="4" t="s">
        <v>172</v>
      </c>
      <c r="K113" s="5">
        <v>-5640.3581333136808</v>
      </c>
    </row>
    <row r="114" spans="1:11" x14ac:dyDescent="0.25">
      <c r="A114" s="4" t="s">
        <v>173</v>
      </c>
      <c r="K114" s="5">
        <v>0</v>
      </c>
    </row>
    <row r="115" spans="1:11" x14ac:dyDescent="0.25">
      <c r="A115" s="4" t="s">
        <v>174</v>
      </c>
      <c r="K115" s="5">
        <v>0</v>
      </c>
    </row>
    <row r="116" spans="1:11" x14ac:dyDescent="0.25">
      <c r="A116" s="4" t="s">
        <v>175</v>
      </c>
      <c r="K116" s="5">
        <v>0</v>
      </c>
    </row>
    <row r="117" spans="1:11" x14ac:dyDescent="0.25">
      <c r="A117" s="4" t="s">
        <v>176</v>
      </c>
      <c r="K117" s="5">
        <v>0</v>
      </c>
    </row>
    <row r="118" spans="1:11" x14ac:dyDescent="0.25">
      <c r="A118" s="4" t="s">
        <v>177</v>
      </c>
      <c r="K118" s="5">
        <v>0</v>
      </c>
    </row>
    <row r="119" spans="1:11" x14ac:dyDescent="0.25">
      <c r="A119" s="4" t="s">
        <v>178</v>
      </c>
      <c r="K119" s="20">
        <f>K109+K113+K114+K115+K116+K117+K118+K121-K111-K112</f>
        <v>66758.088991350072</v>
      </c>
    </row>
    <row r="120" spans="1:11" x14ac:dyDescent="0.25">
      <c r="A120" s="4" t="s">
        <v>179</v>
      </c>
      <c r="K120" s="6">
        <f>Inputs!B11</f>
        <v>1150</v>
      </c>
    </row>
    <row r="121" spans="1:11" x14ac:dyDescent="0.25">
      <c r="A121" s="4" t="s">
        <v>180</v>
      </c>
      <c r="K121" s="21">
        <f>-(Inputs!B41+Inputs!B42)</f>
        <v>-1384</v>
      </c>
    </row>
    <row r="122" spans="1:11" ht="15.75" customHeight="1" x14ac:dyDescent="0.25">
      <c r="A122" s="4" t="s">
        <v>181</v>
      </c>
      <c r="K122" s="22">
        <f>K119/K120</f>
        <v>58.050512166391364</v>
      </c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2"/>
  <sheetViews>
    <sheetView workbookViewId="0"/>
  </sheetViews>
  <sheetFormatPr baseColWidth="10" defaultColWidth="9.140625" defaultRowHeight="15" x14ac:dyDescent="0.25"/>
  <cols>
    <col min="1" max="1" width="30" customWidth="1"/>
    <col min="2" max="2" width="4" customWidth="1"/>
    <col min="3" max="11" width="14" customWidth="1"/>
  </cols>
  <sheetData>
    <row r="1" spans="1:11" ht="18.75" customHeight="1" x14ac:dyDescent="0.3">
      <c r="A1" s="1" t="s">
        <v>182</v>
      </c>
    </row>
    <row r="2" spans="1:11" x14ac:dyDescent="0.25">
      <c r="A2" s="2" t="s">
        <v>56</v>
      </c>
    </row>
    <row r="3" spans="1:11" x14ac:dyDescent="0.25">
      <c r="C3" s="13" t="s">
        <v>57</v>
      </c>
      <c r="D3" s="13" t="s">
        <v>58</v>
      </c>
      <c r="E3" s="13" t="s">
        <v>59</v>
      </c>
      <c r="F3" s="13" t="s">
        <v>60</v>
      </c>
      <c r="G3" s="13" t="s">
        <v>61</v>
      </c>
      <c r="H3" s="13" t="s">
        <v>62</v>
      </c>
      <c r="I3" s="13" t="s">
        <v>63</v>
      </c>
      <c r="J3" s="13" t="s">
        <v>64</v>
      </c>
      <c r="K3" s="13" t="s">
        <v>65</v>
      </c>
    </row>
    <row r="4" spans="1:11" x14ac:dyDescent="0.25">
      <c r="A4" s="4" t="s">
        <v>66</v>
      </c>
      <c r="C4" s="14" t="s">
        <v>57</v>
      </c>
      <c r="D4" s="14" t="s">
        <v>58</v>
      </c>
      <c r="E4" s="14" t="s">
        <v>59</v>
      </c>
      <c r="F4" s="14" t="s">
        <v>60</v>
      </c>
      <c r="G4" s="14" t="s">
        <v>61</v>
      </c>
      <c r="H4" s="14"/>
      <c r="I4" s="14"/>
      <c r="J4" s="14"/>
    </row>
    <row r="5" spans="1:11" x14ac:dyDescent="0.25">
      <c r="A5" s="4" t="s">
        <v>67</v>
      </c>
      <c r="C5" s="5">
        <v>24430</v>
      </c>
      <c r="D5" s="5">
        <v>18643</v>
      </c>
      <c r="E5" s="5">
        <v>17778</v>
      </c>
      <c r="F5" s="5">
        <v>6884</v>
      </c>
      <c r="G5" s="5">
        <v>17874</v>
      </c>
      <c r="H5" s="5"/>
      <c r="I5" s="5"/>
      <c r="J5" s="5"/>
    </row>
    <row r="6" spans="1:11" x14ac:dyDescent="0.25">
      <c r="A6" s="4" t="s">
        <v>68</v>
      </c>
      <c r="C6" s="7">
        <v>7.2500000000000009E-2</v>
      </c>
      <c r="D6" s="7">
        <v>0.03</v>
      </c>
      <c r="E6" s="7">
        <v>7.0000000000000007E-2</v>
      </c>
      <c r="F6" s="7">
        <v>4.4999999999999998E-2</v>
      </c>
      <c r="G6" s="7">
        <v>4.2999999999999997E-2</v>
      </c>
      <c r="H6" s="7"/>
      <c r="I6" s="7"/>
      <c r="J6" s="7"/>
    </row>
    <row r="7" spans="1:11" x14ac:dyDescent="0.25">
      <c r="A7" s="4" t="s">
        <v>69</v>
      </c>
      <c r="C7" s="7">
        <v>0.16490568818490911</v>
      </c>
      <c r="D7" s="7">
        <v>6.1905688184909109E-2</v>
      </c>
      <c r="E7" s="7">
        <v>8.6905688184909111E-2</v>
      </c>
      <c r="F7" s="7">
        <v>5.9905688184909107E-2</v>
      </c>
      <c r="G7" s="7">
        <v>8.190568818490912E-2</v>
      </c>
      <c r="H7" s="7"/>
      <c r="I7" s="7"/>
      <c r="J7" s="7"/>
    </row>
    <row r="8" spans="1:11" x14ac:dyDescent="0.25">
      <c r="A8" s="4" t="s">
        <v>70</v>
      </c>
      <c r="C8" s="15">
        <v>0.152</v>
      </c>
      <c r="D8" s="15">
        <v>0.04</v>
      </c>
      <c r="E8" s="15">
        <v>6.5000000000000002E-2</v>
      </c>
      <c r="F8" s="15">
        <v>5.5E-2</v>
      </c>
      <c r="G8" s="15">
        <v>5.8000000000000003E-2</v>
      </c>
      <c r="H8" s="15"/>
      <c r="I8" s="15"/>
      <c r="J8" s="15"/>
    </row>
    <row r="9" spans="1:11" x14ac:dyDescent="0.25">
      <c r="A9" s="4" t="s">
        <v>71</v>
      </c>
      <c r="C9" s="7">
        <v>0.155</v>
      </c>
      <c r="D9" s="7">
        <v>8.3905688184909108E-2</v>
      </c>
      <c r="E9" s="7">
        <v>8.0999999999999989E-2</v>
      </c>
      <c r="F9" s="7">
        <v>0.08</v>
      </c>
      <c r="G9" s="7">
        <v>6.9999999999999993E-2</v>
      </c>
      <c r="H9" s="7"/>
      <c r="I9" s="7"/>
      <c r="J9" s="7"/>
    </row>
    <row r="10" spans="1:11" x14ac:dyDescent="0.25">
      <c r="A10" s="4" t="s">
        <v>72</v>
      </c>
      <c r="C10" s="7">
        <v>0.1008</v>
      </c>
      <c r="D10" s="7">
        <v>1.6E-2</v>
      </c>
      <c r="E10" s="7">
        <v>0.09</v>
      </c>
      <c r="F10" s="7">
        <v>5.6800000000000003E-2</v>
      </c>
      <c r="G10" s="7">
        <v>6.7000000000000004E-2</v>
      </c>
      <c r="H10" s="7"/>
      <c r="I10" s="7"/>
      <c r="J10" s="7"/>
    </row>
    <row r="11" spans="1:11" x14ac:dyDescent="0.25">
      <c r="A11" s="4" t="s">
        <v>73</v>
      </c>
      <c r="C11" s="7">
        <v>7.4499999999999997E-2</v>
      </c>
      <c r="D11" s="7">
        <v>1.7999999999999999E-2</v>
      </c>
      <c r="E11" s="7">
        <v>6.6799999999999998E-2</v>
      </c>
      <c r="F11" s="7">
        <v>4.1700000000000001E-2</v>
      </c>
      <c r="G11" s="7">
        <v>3.85E-2</v>
      </c>
      <c r="H11" s="7"/>
      <c r="I11" s="7"/>
      <c r="J11" s="7"/>
    </row>
    <row r="12" spans="1:11" x14ac:dyDescent="0.25">
      <c r="A12" s="4" t="s">
        <v>74</v>
      </c>
      <c r="C12" s="7">
        <v>2.6200000000000001E-2</v>
      </c>
      <c r="D12" s="7">
        <v>5.0000000000000001E-3</v>
      </c>
      <c r="E12" s="7">
        <v>2.3199999999999998E-2</v>
      </c>
      <c r="F12" s="7">
        <v>1.4999999999999999E-2</v>
      </c>
      <c r="G12" s="7">
        <v>2.8400000000000002E-2</v>
      </c>
      <c r="H12" s="7"/>
      <c r="I12" s="7"/>
      <c r="J12" s="7"/>
    </row>
    <row r="13" spans="1:11" x14ac:dyDescent="0.25">
      <c r="A13" s="4" t="s">
        <v>75</v>
      </c>
      <c r="C13" s="7">
        <v>2.8984281364151519E-2</v>
      </c>
      <c r="D13" s="7">
        <v>2.3984281364151521E-2</v>
      </c>
      <c r="E13" s="7">
        <v>2.8984281364151519E-2</v>
      </c>
      <c r="F13" s="7">
        <v>2.1984281364151519E-2</v>
      </c>
      <c r="G13" s="7">
        <v>1.898428136415152E-2</v>
      </c>
      <c r="H13" s="7"/>
      <c r="I13" s="7"/>
      <c r="J13" s="7"/>
    </row>
    <row r="14" spans="1:11" x14ac:dyDescent="0.25">
      <c r="A14" s="4" t="s">
        <v>76</v>
      </c>
      <c r="C14" s="9">
        <v>1.0209999999999999</v>
      </c>
      <c r="D14" s="9">
        <v>1.0209999999999999</v>
      </c>
      <c r="E14" s="9">
        <v>1.128473684210527</v>
      </c>
      <c r="F14" s="9">
        <v>1.0209999999999999</v>
      </c>
      <c r="G14" s="9">
        <v>1.0209999999999999</v>
      </c>
      <c r="H14" s="9"/>
      <c r="I14" s="9"/>
      <c r="J14" s="9"/>
    </row>
    <row r="15" spans="1:11" x14ac:dyDescent="0.25">
      <c r="A15" s="4" t="s">
        <v>77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/>
      <c r="I15" s="7"/>
      <c r="J15" s="7"/>
    </row>
    <row r="16" spans="1:11" x14ac:dyDescent="0.25">
      <c r="A16" s="4" t="s">
        <v>78</v>
      </c>
      <c r="C16" s="11">
        <f>MAX((MAX(Inputs!B18+((1-0.33)*C14*(1+(1-Inputs!B22)*Inputs!B21)+0.33)*Inputs!B19+IF(ISBLANK(C17),Inputs!B24,C17)+Inputs!B25+Inputs!B39,MIN(Inputs!B27,0.08)+0.025))*Inputs!B29+Inputs!B28*Inputs!B30,C15)</f>
        <v>7.143588269878226E-2</v>
      </c>
      <c r="D16" s="11">
        <f>MAX((MAX(Inputs!B18+((1-0.33)*D14*(1+(1-Inputs!B22)*Inputs!B21)+0.33)*Inputs!B19+IF(ISBLANK(D17),Inputs!B24,D17)+Inputs!B25+Inputs!B39,MIN(Inputs!B27,0.08)+0.025))*Inputs!B29+Inputs!B28*Inputs!B30,D15)</f>
        <v>7.143588269878226E-2</v>
      </c>
      <c r="E16" s="11">
        <f>MAX((MAX(Inputs!B18+((1-0.33)*E14*(1+(1-Inputs!B22)*Inputs!B21)+0.33)*Inputs!B19+IF(ISBLANK(E17),Inputs!B24,E17)+Inputs!B25+Inputs!B39,MIN(Inputs!B27,0.08)+0.025))*Inputs!B29+Inputs!B28*Inputs!B30,E15)</f>
        <v>7.4970016361472436E-2</v>
      </c>
      <c r="F16" s="11">
        <f>MAX((MAX(Inputs!B18+((1-0.33)*F14*(1+(1-Inputs!B22)*Inputs!B21)+0.33)*Inputs!B19+IF(ISBLANK(F17),Inputs!B24,F17)+Inputs!B25+Inputs!B39,MIN(Inputs!B27,0.08)+0.025))*Inputs!B29+Inputs!B28*Inputs!B30,F15)</f>
        <v>7.143588269878226E-2</v>
      </c>
      <c r="G16" s="11">
        <f>MAX((MAX(Inputs!B18+((1-0.33)*G14*(1+(1-Inputs!B22)*Inputs!B21)+0.33)*Inputs!B19+IF(ISBLANK(G17),Inputs!B24,G17)+Inputs!B25+Inputs!B39,MIN(Inputs!B27,0.08)+0.025))*Inputs!B29+Inputs!B28*Inputs!B30,G15)</f>
        <v>7.143588269878226E-2</v>
      </c>
      <c r="H16" s="11">
        <f>MAX((MAX(Inputs!B18+((1-0.33)*H14*(1+(1-Inputs!B22)*Inputs!B21)+0.33)*Inputs!B19+IF(ISBLANK(H17),Inputs!B24,H17)+Inputs!B25+Inputs!B39,MIN(Inputs!B27,0.08)+0.025))*Inputs!B29+Inputs!B28*Inputs!B30,H15)</f>
        <v>4.7490161290322588E-2</v>
      </c>
      <c r="I16" s="11">
        <f>MAX((MAX(Inputs!B18+((1-0.33)*I14*(1+(1-Inputs!B22)*Inputs!B21)+0.33)*Inputs!B19+IF(ISBLANK(I17),Inputs!B24,I17)+Inputs!B25+Inputs!B39,MIN(Inputs!B27,0.08)+0.025))*Inputs!B29+Inputs!B28*Inputs!B30,I15)</f>
        <v>4.7490161290322588E-2</v>
      </c>
      <c r="J16" s="11">
        <f>MAX((MAX(Inputs!B18+((1-0.33)*J14*(1+(1-Inputs!B22)*Inputs!B21)+0.33)*Inputs!B19+IF(ISBLANK(J17),Inputs!B24,J17)+Inputs!B25+Inputs!B39,MIN(Inputs!B27,0.08)+0.025))*Inputs!B29+Inputs!B28*Inputs!B30,J15)</f>
        <v>4.7490161290322588E-2</v>
      </c>
    </row>
    <row r="17" spans="1:10" x14ac:dyDescent="0.25">
      <c r="A17" s="16" t="s">
        <v>79</v>
      </c>
      <c r="C17" s="7"/>
      <c r="D17" s="7"/>
      <c r="E17" s="7"/>
      <c r="F17" s="7"/>
      <c r="G17" s="7"/>
      <c r="H17" s="7"/>
      <c r="I17" s="7"/>
      <c r="J17" s="7"/>
    </row>
    <row r="18" spans="1:10" ht="39.950000000000003" customHeight="1" x14ac:dyDescent="0.25">
      <c r="A18" s="17" t="s">
        <v>80</v>
      </c>
      <c r="C18" s="18" t="s">
        <v>183</v>
      </c>
      <c r="D18" s="18" t="s">
        <v>184</v>
      </c>
      <c r="E18" s="18" t="s">
        <v>185</v>
      </c>
      <c r="F18" s="18" t="s">
        <v>186</v>
      </c>
      <c r="G18" s="18" t="s">
        <v>187</v>
      </c>
      <c r="H18" s="18"/>
      <c r="I18" s="18"/>
      <c r="J18" s="18"/>
    </row>
    <row r="19" spans="1:10" ht="39.950000000000003" customHeight="1" x14ac:dyDescent="0.25">
      <c r="A19" s="17" t="s">
        <v>86</v>
      </c>
      <c r="C19" s="18" t="s">
        <v>188</v>
      </c>
      <c r="D19" s="18" t="s">
        <v>189</v>
      </c>
      <c r="E19" s="18" t="s">
        <v>190</v>
      </c>
      <c r="F19" s="18" t="s">
        <v>191</v>
      </c>
      <c r="G19" s="18" t="s">
        <v>192</v>
      </c>
      <c r="H19" s="18"/>
      <c r="I19" s="18"/>
      <c r="J19" s="18"/>
    </row>
    <row r="21" spans="1:10" x14ac:dyDescent="0.25">
      <c r="A21" s="4" t="s">
        <v>92</v>
      </c>
      <c r="C21" s="6">
        <f t="shared" ref="C21:J21" si="0">C5*(1+C6)^1</f>
        <v>26201.174999999999</v>
      </c>
      <c r="D21" s="6">
        <f t="shared" si="0"/>
        <v>19202.29</v>
      </c>
      <c r="E21" s="6">
        <f t="shared" si="0"/>
        <v>19022.460000000003</v>
      </c>
      <c r="F21" s="6">
        <f t="shared" si="0"/>
        <v>7193.78</v>
      </c>
      <c r="G21" s="6">
        <f t="shared" si="0"/>
        <v>18642.581999999999</v>
      </c>
      <c r="H21" s="6">
        <f t="shared" si="0"/>
        <v>0</v>
      </c>
      <c r="I21" s="6">
        <f t="shared" si="0"/>
        <v>0</v>
      </c>
      <c r="J21" s="6">
        <f t="shared" si="0"/>
        <v>0</v>
      </c>
    </row>
    <row r="22" spans="1:10" x14ac:dyDescent="0.25">
      <c r="A22" s="4" t="s">
        <v>93</v>
      </c>
      <c r="C22" s="6">
        <f t="shared" ref="C22:J22" si="1">C5*(1+C6)^2</f>
        <v>28100.7601875</v>
      </c>
      <c r="D22" s="6">
        <f t="shared" si="1"/>
        <v>19778.358700000001</v>
      </c>
      <c r="E22" s="6">
        <f t="shared" si="1"/>
        <v>20354.032200000001</v>
      </c>
      <c r="F22" s="6">
        <f t="shared" si="1"/>
        <v>7517.5000999999984</v>
      </c>
      <c r="G22" s="6">
        <f t="shared" si="1"/>
        <v>19444.213025999998</v>
      </c>
      <c r="H22" s="6">
        <f t="shared" si="1"/>
        <v>0</v>
      </c>
      <c r="I22" s="6">
        <f t="shared" si="1"/>
        <v>0</v>
      </c>
      <c r="J22" s="6">
        <f t="shared" si="1"/>
        <v>0</v>
      </c>
    </row>
    <row r="23" spans="1:10" x14ac:dyDescent="0.25">
      <c r="A23" s="4" t="s">
        <v>94</v>
      </c>
      <c r="C23" s="6">
        <f t="shared" ref="C23:J23" si="2">C5*(1+C6)^3</f>
        <v>30138.065301093749</v>
      </c>
      <c r="D23" s="6">
        <f t="shared" si="2"/>
        <v>20371.709460999999</v>
      </c>
      <c r="E23" s="6">
        <f t="shared" si="2"/>
        <v>21778.814454000003</v>
      </c>
      <c r="F23" s="6">
        <f t="shared" si="2"/>
        <v>7855.7876044999985</v>
      </c>
      <c r="G23" s="6">
        <f t="shared" si="2"/>
        <v>20280.314186117994</v>
      </c>
      <c r="H23" s="6">
        <f t="shared" si="2"/>
        <v>0</v>
      </c>
      <c r="I23" s="6">
        <f t="shared" si="2"/>
        <v>0</v>
      </c>
      <c r="J23" s="6">
        <f t="shared" si="2"/>
        <v>0</v>
      </c>
    </row>
    <row r="24" spans="1:10" x14ac:dyDescent="0.25">
      <c r="A24" s="4" t="s">
        <v>95</v>
      </c>
      <c r="C24" s="6">
        <f t="shared" ref="C24:J24" si="3">C5*(1+C6)^4</f>
        <v>32323.075035423048</v>
      </c>
      <c r="D24" s="6">
        <f t="shared" si="3"/>
        <v>20982.860744829999</v>
      </c>
      <c r="E24" s="6">
        <f t="shared" si="3"/>
        <v>23303.33146578</v>
      </c>
      <c r="F24" s="6">
        <f t="shared" si="3"/>
        <v>8209.2980467024972</v>
      </c>
      <c r="G24" s="6">
        <f t="shared" si="3"/>
        <v>21152.367696121066</v>
      </c>
      <c r="H24" s="6">
        <f t="shared" si="3"/>
        <v>0</v>
      </c>
      <c r="I24" s="6">
        <f t="shared" si="3"/>
        <v>0</v>
      </c>
      <c r="J24" s="6">
        <f t="shared" si="3"/>
        <v>0</v>
      </c>
    </row>
    <row r="25" spans="1:10" x14ac:dyDescent="0.25">
      <c r="A25" s="4" t="s">
        <v>96</v>
      </c>
      <c r="C25" s="6">
        <f t="shared" ref="C25:J25" si="4">C5*(1+C6)^5</f>
        <v>34666.49797549122</v>
      </c>
      <c r="D25" s="6">
        <f t="shared" si="4"/>
        <v>21612.346567174896</v>
      </c>
      <c r="E25" s="6">
        <f t="shared" si="4"/>
        <v>24934.564668384603</v>
      </c>
      <c r="F25" s="6">
        <f t="shared" si="4"/>
        <v>8578.7164588041087</v>
      </c>
      <c r="G25" s="6">
        <f t="shared" si="4"/>
        <v>22061.919507054274</v>
      </c>
      <c r="H25" s="6">
        <f t="shared" si="4"/>
        <v>0</v>
      </c>
      <c r="I25" s="6">
        <f t="shared" si="4"/>
        <v>0</v>
      </c>
      <c r="J25" s="6">
        <f t="shared" si="4"/>
        <v>0</v>
      </c>
    </row>
    <row r="26" spans="1:10" x14ac:dyDescent="0.25">
      <c r="A26" s="4" t="s">
        <v>97</v>
      </c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4" t="s">
        <v>98</v>
      </c>
      <c r="C27" s="11">
        <f t="shared" ref="C27:J27" si="5">IF(ISBLANK(C9),C7,C7+(C9-C7)*(0)/4)</f>
        <v>0.16490568818490911</v>
      </c>
      <c r="D27" s="11">
        <f t="shared" si="5"/>
        <v>6.1905688184909109E-2</v>
      </c>
      <c r="E27" s="11">
        <f t="shared" si="5"/>
        <v>8.6905688184909111E-2</v>
      </c>
      <c r="F27" s="11">
        <f t="shared" si="5"/>
        <v>5.9905688184909107E-2</v>
      </c>
      <c r="G27" s="11">
        <f t="shared" si="5"/>
        <v>8.190568818490912E-2</v>
      </c>
      <c r="H27" s="11">
        <f t="shared" si="5"/>
        <v>0</v>
      </c>
      <c r="I27" s="11">
        <f t="shared" si="5"/>
        <v>0</v>
      </c>
      <c r="J27" s="11">
        <f t="shared" si="5"/>
        <v>0</v>
      </c>
    </row>
    <row r="28" spans="1:10" x14ac:dyDescent="0.25">
      <c r="A28" s="4" t="s">
        <v>99</v>
      </c>
      <c r="C28" s="11">
        <f t="shared" ref="C28:J28" si="6">IF(ISBLANK(C9),C7,C7+(C9-C7)*(1)/4)</f>
        <v>0.16242926613868183</v>
      </c>
      <c r="D28" s="11">
        <f t="shared" si="6"/>
        <v>6.7405688184909107E-2</v>
      </c>
      <c r="E28" s="11">
        <f t="shared" si="6"/>
        <v>8.5429266138681834E-2</v>
      </c>
      <c r="F28" s="11">
        <f t="shared" si="6"/>
        <v>6.4929266138681829E-2</v>
      </c>
      <c r="G28" s="11">
        <f t="shared" si="6"/>
        <v>7.8929266138681842E-2</v>
      </c>
      <c r="H28" s="11">
        <f t="shared" si="6"/>
        <v>0</v>
      </c>
      <c r="I28" s="11">
        <f t="shared" si="6"/>
        <v>0</v>
      </c>
      <c r="J28" s="11">
        <f t="shared" si="6"/>
        <v>0</v>
      </c>
    </row>
    <row r="29" spans="1:10" x14ac:dyDescent="0.25">
      <c r="A29" s="4" t="s">
        <v>100</v>
      </c>
      <c r="C29" s="11">
        <f t="shared" ref="C29:J29" si="7">IF(ISBLANK(C9),C7,C7+(C9-C7)*(2)/4)</f>
        <v>0.15995284409245455</v>
      </c>
      <c r="D29" s="11">
        <f t="shared" si="7"/>
        <v>7.2905688184909112E-2</v>
      </c>
      <c r="E29" s="11">
        <f t="shared" si="7"/>
        <v>8.3952844092454543E-2</v>
      </c>
      <c r="F29" s="11">
        <f t="shared" si="7"/>
        <v>6.9952844092454558E-2</v>
      </c>
      <c r="G29" s="11">
        <f t="shared" si="7"/>
        <v>7.5952844092454563E-2</v>
      </c>
      <c r="H29" s="11">
        <f t="shared" si="7"/>
        <v>0</v>
      </c>
      <c r="I29" s="11">
        <f t="shared" si="7"/>
        <v>0</v>
      </c>
      <c r="J29" s="11">
        <f t="shared" si="7"/>
        <v>0</v>
      </c>
    </row>
    <row r="30" spans="1:10" x14ac:dyDescent="0.25">
      <c r="A30" s="4" t="s">
        <v>101</v>
      </c>
      <c r="C30" s="11">
        <f t="shared" ref="C30:J30" si="8">IF(ISBLANK(C9),C7,C7+(C9-C7)*(3)/4)</f>
        <v>0.15747642204622728</v>
      </c>
      <c r="D30" s="11">
        <f t="shared" si="8"/>
        <v>7.8405688184909117E-2</v>
      </c>
      <c r="E30" s="11">
        <f t="shared" si="8"/>
        <v>8.2476422046227266E-2</v>
      </c>
      <c r="F30" s="11">
        <f t="shared" si="8"/>
        <v>7.4976422046227273E-2</v>
      </c>
      <c r="G30" s="11">
        <f t="shared" si="8"/>
        <v>7.2976422046227271E-2</v>
      </c>
      <c r="H30" s="11">
        <f t="shared" si="8"/>
        <v>0</v>
      </c>
      <c r="I30" s="11">
        <f t="shared" si="8"/>
        <v>0</v>
      </c>
      <c r="J30" s="11">
        <f t="shared" si="8"/>
        <v>0</v>
      </c>
    </row>
    <row r="31" spans="1:10" x14ac:dyDescent="0.25">
      <c r="A31" s="4" t="s">
        <v>102</v>
      </c>
      <c r="C31" s="11">
        <f t="shared" ref="C31:J31" si="9">IF(ISBLANK(C9),C7,C7+(C9-C7)*(4)/4)</f>
        <v>0.155</v>
      </c>
      <c r="D31" s="11">
        <f t="shared" si="9"/>
        <v>8.3905688184909108E-2</v>
      </c>
      <c r="E31" s="11">
        <f t="shared" si="9"/>
        <v>8.0999999999999989E-2</v>
      </c>
      <c r="F31" s="11">
        <f t="shared" si="9"/>
        <v>0.08</v>
      </c>
      <c r="G31" s="11">
        <f t="shared" si="9"/>
        <v>6.9999999999999993E-2</v>
      </c>
      <c r="H31" s="11">
        <f t="shared" si="9"/>
        <v>0</v>
      </c>
      <c r="I31" s="11">
        <f t="shared" si="9"/>
        <v>0</v>
      </c>
      <c r="J31" s="11">
        <f t="shared" si="9"/>
        <v>0</v>
      </c>
    </row>
    <row r="33" spans="1:10" x14ac:dyDescent="0.25">
      <c r="A33" s="4" t="s">
        <v>103</v>
      </c>
      <c r="C33" s="6">
        <f t="shared" ref="C33:J37" si="10">C21*C27</f>
        <v>4320.7227946282355</v>
      </c>
      <c r="D33" s="6">
        <f t="shared" si="10"/>
        <v>1188.7309771761984</v>
      </c>
      <c r="E33" s="6">
        <f t="shared" si="10"/>
        <v>1653.1599772699064</v>
      </c>
      <c r="F33" s="6">
        <f t="shared" si="10"/>
        <v>430.94834155083544</v>
      </c>
      <c r="G33" s="6">
        <f t="shared" si="10"/>
        <v>1526.9335082535993</v>
      </c>
      <c r="H33" s="6">
        <f t="shared" si="10"/>
        <v>0</v>
      </c>
      <c r="I33" s="6">
        <f t="shared" si="10"/>
        <v>0</v>
      </c>
      <c r="J33" s="6">
        <f t="shared" si="10"/>
        <v>0</v>
      </c>
    </row>
    <row r="34" spans="1:10" x14ac:dyDescent="0.25">
      <c r="A34" s="4" t="s">
        <v>104</v>
      </c>
      <c r="C34" s="6">
        <f t="shared" si="10"/>
        <v>4564.3858551947123</v>
      </c>
      <c r="D34" s="6">
        <f t="shared" si="10"/>
        <v>1333.1738793414843</v>
      </c>
      <c r="E34" s="6">
        <f t="shared" si="10"/>
        <v>1738.8300338090999</v>
      </c>
      <c r="F34" s="6">
        <f t="shared" si="10"/>
        <v>488.10576469046714</v>
      </c>
      <c r="G34" s="6">
        <f t="shared" si="10"/>
        <v>1534.7174647863781</v>
      </c>
      <c r="H34" s="6">
        <f t="shared" si="10"/>
        <v>0</v>
      </c>
      <c r="I34" s="6">
        <f t="shared" si="10"/>
        <v>0</v>
      </c>
      <c r="J34" s="6">
        <f t="shared" si="10"/>
        <v>0</v>
      </c>
    </row>
    <row r="35" spans="1:10" x14ac:dyDescent="0.25">
      <c r="A35" s="4" t="s">
        <v>105</v>
      </c>
      <c r="C35" s="6">
        <f t="shared" si="10"/>
        <v>4820.6692603540632</v>
      </c>
      <c r="D35" s="6">
        <f t="shared" si="10"/>
        <v>1485.2134977572289</v>
      </c>
      <c r="E35" s="6">
        <f t="shared" si="10"/>
        <v>1828.3934143751578</v>
      </c>
      <c r="F35" s="6">
        <f t="shared" si="10"/>
        <v>549.53468552102549</v>
      </c>
      <c r="G35" s="6">
        <f t="shared" si="10"/>
        <v>1540.3475415242146</v>
      </c>
      <c r="H35" s="6">
        <f t="shared" si="10"/>
        <v>0</v>
      </c>
      <c r="I35" s="6">
        <f t="shared" si="10"/>
        <v>0</v>
      </c>
      <c r="J35" s="6">
        <f t="shared" si="10"/>
        <v>0</v>
      </c>
    </row>
    <row r="36" spans="1:10" x14ac:dyDescent="0.25">
      <c r="A36" s="4" t="s">
        <v>106</v>
      </c>
      <c r="C36" s="6">
        <f t="shared" si="10"/>
        <v>5090.1222061101525</v>
      </c>
      <c r="D36" s="6">
        <f t="shared" si="10"/>
        <v>1645.1756367865107</v>
      </c>
      <c r="E36" s="6">
        <f t="shared" si="10"/>
        <v>1921.9754010547992</v>
      </c>
      <c r="F36" s="6">
        <f t="shared" si="10"/>
        <v>615.50379505283559</v>
      </c>
      <c r="G36" s="6">
        <f t="shared" si="10"/>
        <v>1543.6241122691149</v>
      </c>
      <c r="H36" s="6">
        <f t="shared" si="10"/>
        <v>0</v>
      </c>
      <c r="I36" s="6">
        <f t="shared" si="10"/>
        <v>0</v>
      </c>
      <c r="J36" s="6">
        <f t="shared" si="10"/>
        <v>0</v>
      </c>
    </row>
    <row r="37" spans="1:10" x14ac:dyDescent="0.25">
      <c r="A37" s="4" t="s">
        <v>107</v>
      </c>
      <c r="C37" s="6">
        <f t="shared" si="10"/>
        <v>5373.3071862011393</v>
      </c>
      <c r="D37" s="6">
        <f t="shared" si="10"/>
        <v>1813.3988120095676</v>
      </c>
      <c r="E37" s="6">
        <f t="shared" si="10"/>
        <v>2019.6997381391525</v>
      </c>
      <c r="F37" s="6">
        <f t="shared" si="10"/>
        <v>686.29731670432875</v>
      </c>
      <c r="G37" s="6">
        <f t="shared" si="10"/>
        <v>1544.3343654937989</v>
      </c>
      <c r="H37" s="6">
        <f t="shared" si="10"/>
        <v>0</v>
      </c>
      <c r="I37" s="6">
        <f t="shared" si="10"/>
        <v>0</v>
      </c>
      <c r="J37" s="6">
        <f t="shared" si="10"/>
        <v>0</v>
      </c>
    </row>
    <row r="39" spans="1:10" x14ac:dyDescent="0.25">
      <c r="A39" s="4" t="s">
        <v>108</v>
      </c>
      <c r="C39" s="6">
        <f>C33*(1-Inputs!B22)</f>
        <v>3054.7510158021628</v>
      </c>
      <c r="D39" s="6">
        <f>D33*(1-Inputs!B22)</f>
        <v>840.43280086357231</v>
      </c>
      <c r="E39" s="6">
        <f>E33*(1-Inputs!B22)</f>
        <v>1168.7841039298239</v>
      </c>
      <c r="F39" s="6">
        <f>F33*(1-Inputs!B22)</f>
        <v>304.68047747644067</v>
      </c>
      <c r="G39" s="6">
        <f>G33*(1-Inputs!B22)</f>
        <v>1079.5419903352947</v>
      </c>
      <c r="H39" s="6">
        <f>H33*(1-Inputs!B22)</f>
        <v>0</v>
      </c>
      <c r="I39" s="6">
        <f>I33*(1-Inputs!B22)</f>
        <v>0</v>
      </c>
      <c r="J39" s="6">
        <f>J33*(1-Inputs!B22)</f>
        <v>0</v>
      </c>
    </row>
    <row r="40" spans="1:10" x14ac:dyDescent="0.25">
      <c r="A40" s="4" t="s">
        <v>109</v>
      </c>
      <c r="C40" s="6">
        <f>C34*(1-Inputs!B22)</f>
        <v>3227.0207996226618</v>
      </c>
      <c r="D40" s="6">
        <f>D34*(1-Inputs!B22)</f>
        <v>942.55393269442948</v>
      </c>
      <c r="E40" s="6">
        <f>E34*(1-Inputs!B22)</f>
        <v>1229.3528339030338</v>
      </c>
      <c r="F40" s="6">
        <f>F34*(1-Inputs!B22)</f>
        <v>345.09077563616029</v>
      </c>
      <c r="G40" s="6">
        <f>G34*(1-Inputs!B22)</f>
        <v>1085.0452476039693</v>
      </c>
      <c r="H40" s="6">
        <f>H34*(1-Inputs!B22)</f>
        <v>0</v>
      </c>
      <c r="I40" s="6">
        <f>I34*(1-Inputs!B22)</f>
        <v>0</v>
      </c>
      <c r="J40" s="6">
        <f>J34*(1-Inputs!B22)</f>
        <v>0</v>
      </c>
    </row>
    <row r="41" spans="1:10" x14ac:dyDescent="0.25">
      <c r="A41" s="4" t="s">
        <v>110</v>
      </c>
      <c r="C41" s="6">
        <f>C35*(1-Inputs!B22)</f>
        <v>3408.2131670703229</v>
      </c>
      <c r="D41" s="6">
        <f>D35*(1-Inputs!B22)</f>
        <v>1050.0459429143609</v>
      </c>
      <c r="E41" s="6">
        <f>E35*(1-Inputs!B22)</f>
        <v>1292.6741439632367</v>
      </c>
      <c r="F41" s="6">
        <f>F35*(1-Inputs!B22)</f>
        <v>388.52102266336504</v>
      </c>
      <c r="G41" s="6">
        <f>G35*(1-Inputs!B22)</f>
        <v>1089.0257118576199</v>
      </c>
      <c r="H41" s="6">
        <f>H35*(1-Inputs!B22)</f>
        <v>0</v>
      </c>
      <c r="I41" s="6">
        <f>I35*(1-Inputs!B22)</f>
        <v>0</v>
      </c>
      <c r="J41" s="6">
        <f>J35*(1-Inputs!B22)</f>
        <v>0</v>
      </c>
    </row>
    <row r="42" spans="1:10" x14ac:dyDescent="0.25">
      <c r="A42" s="4" t="s">
        <v>111</v>
      </c>
      <c r="C42" s="6">
        <f>C36*(1-Inputs!B22)</f>
        <v>3598.7163997198782</v>
      </c>
      <c r="D42" s="6">
        <f>D36*(1-Inputs!B22)</f>
        <v>1163.1391752080633</v>
      </c>
      <c r="E42" s="6">
        <f>E36*(1-Inputs!B22)</f>
        <v>1358.8366085457433</v>
      </c>
      <c r="F42" s="6">
        <f>F36*(1-Inputs!B22)</f>
        <v>435.16118310235481</v>
      </c>
      <c r="G42" s="6">
        <f>G36*(1-Inputs!B22)</f>
        <v>1091.3422473742644</v>
      </c>
      <c r="H42" s="6">
        <f>H36*(1-Inputs!B22)</f>
        <v>0</v>
      </c>
      <c r="I42" s="6">
        <f>I36*(1-Inputs!B22)</f>
        <v>0</v>
      </c>
      <c r="J42" s="6">
        <f>J36*(1-Inputs!B22)</f>
        <v>0</v>
      </c>
    </row>
    <row r="43" spans="1:10" x14ac:dyDescent="0.25">
      <c r="A43" s="4" t="s">
        <v>112</v>
      </c>
      <c r="C43" s="6">
        <f>C37*(1-Inputs!B22)</f>
        <v>3798.9281806442059</v>
      </c>
      <c r="D43" s="6">
        <f>D37*(1-Inputs!B22)</f>
        <v>1282.0729600907644</v>
      </c>
      <c r="E43" s="6">
        <f>E37*(1-Inputs!B22)</f>
        <v>1427.927714864381</v>
      </c>
      <c r="F43" s="6">
        <f>F37*(1-Inputs!B22)</f>
        <v>485.21220290996047</v>
      </c>
      <c r="G43" s="6">
        <f>G37*(1-Inputs!B22)</f>
        <v>1091.844396404116</v>
      </c>
      <c r="H43" s="6">
        <f>H37*(1-Inputs!B22)</f>
        <v>0</v>
      </c>
      <c r="I43" s="6">
        <f>I37*(1-Inputs!B22)</f>
        <v>0</v>
      </c>
      <c r="J43" s="6">
        <f>J37*(1-Inputs!B22)</f>
        <v>0</v>
      </c>
    </row>
    <row r="45" spans="1:10" x14ac:dyDescent="0.25">
      <c r="A45" s="4" t="s">
        <v>113</v>
      </c>
      <c r="C45" s="6">
        <f t="shared" ref="C45:J45" si="11">C21*IF(ISBLANK(C26),C12,C12+(C26-C12)*(0)/4)</f>
        <v>686.47078499999998</v>
      </c>
      <c r="D45" s="6">
        <f t="shared" si="11"/>
        <v>96.011450000000011</v>
      </c>
      <c r="E45" s="6">
        <f t="shared" si="11"/>
        <v>441.32107200000002</v>
      </c>
      <c r="F45" s="6">
        <f t="shared" si="11"/>
        <v>107.90669999999999</v>
      </c>
      <c r="G45" s="6">
        <f t="shared" si="11"/>
        <v>529.44932879999999</v>
      </c>
      <c r="H45" s="6">
        <f t="shared" si="11"/>
        <v>0</v>
      </c>
      <c r="I45" s="6">
        <f t="shared" si="11"/>
        <v>0</v>
      </c>
      <c r="J45" s="6">
        <f t="shared" si="11"/>
        <v>0</v>
      </c>
    </row>
    <row r="46" spans="1:10" x14ac:dyDescent="0.25">
      <c r="A46" s="4" t="s">
        <v>114</v>
      </c>
      <c r="C46" s="6">
        <f t="shared" ref="C46:J46" si="12">C22*IF(ISBLANK(C26),C12,C12+(C26-C12)*(1)/4)</f>
        <v>736.23991691250001</v>
      </c>
      <c r="D46" s="6">
        <f t="shared" si="12"/>
        <v>98.891793500000006</v>
      </c>
      <c r="E46" s="6">
        <f t="shared" si="12"/>
        <v>472.21354703999998</v>
      </c>
      <c r="F46" s="6">
        <f t="shared" si="12"/>
        <v>112.76250149999997</v>
      </c>
      <c r="G46" s="6">
        <f t="shared" si="12"/>
        <v>552.21564993840002</v>
      </c>
      <c r="H46" s="6">
        <f t="shared" si="12"/>
        <v>0</v>
      </c>
      <c r="I46" s="6">
        <f t="shared" si="12"/>
        <v>0</v>
      </c>
      <c r="J46" s="6">
        <f t="shared" si="12"/>
        <v>0</v>
      </c>
    </row>
    <row r="47" spans="1:10" x14ac:dyDescent="0.25">
      <c r="A47" s="4" t="s">
        <v>115</v>
      </c>
      <c r="C47" s="6">
        <f t="shared" ref="C47:J47" si="13">C23*IF(ISBLANK(C26),C12,C12+(C26-C12)*(2)/4)</f>
        <v>789.61731088865622</v>
      </c>
      <c r="D47" s="6">
        <f t="shared" si="13"/>
        <v>101.858547305</v>
      </c>
      <c r="E47" s="6">
        <f t="shared" si="13"/>
        <v>505.26849533280006</v>
      </c>
      <c r="F47" s="6">
        <f t="shared" si="13"/>
        <v>117.83681406749997</v>
      </c>
      <c r="G47" s="6">
        <f t="shared" si="13"/>
        <v>575.96092288575107</v>
      </c>
      <c r="H47" s="6">
        <f t="shared" si="13"/>
        <v>0</v>
      </c>
      <c r="I47" s="6">
        <f t="shared" si="13"/>
        <v>0</v>
      </c>
      <c r="J47" s="6">
        <f t="shared" si="13"/>
        <v>0</v>
      </c>
    </row>
    <row r="48" spans="1:10" x14ac:dyDescent="0.25">
      <c r="A48" s="4" t="s">
        <v>116</v>
      </c>
      <c r="C48" s="6">
        <f t="shared" ref="C48:J48" si="14">C24*IF(ISBLANK(C26),C12,C12+(C26-C12)*(3)/4)</f>
        <v>846.86456592808383</v>
      </c>
      <c r="D48" s="6">
        <f t="shared" si="14"/>
        <v>104.91430372415</v>
      </c>
      <c r="E48" s="6">
        <f t="shared" si="14"/>
        <v>540.63729000609601</v>
      </c>
      <c r="F48" s="6">
        <f t="shared" si="14"/>
        <v>123.13947070053746</v>
      </c>
      <c r="G48" s="6">
        <f t="shared" si="14"/>
        <v>600.72724256983827</v>
      </c>
      <c r="H48" s="6">
        <f t="shared" si="14"/>
        <v>0</v>
      </c>
      <c r="I48" s="6">
        <f t="shared" si="14"/>
        <v>0</v>
      </c>
      <c r="J48" s="6">
        <f t="shared" si="14"/>
        <v>0</v>
      </c>
    </row>
    <row r="49" spans="1:10" x14ac:dyDescent="0.25">
      <c r="A49" s="4" t="s">
        <v>117</v>
      </c>
      <c r="C49" s="6">
        <f t="shared" ref="C49:J49" si="15">C25*IF(ISBLANK(C26),C12,C12+(C26-C12)*(4)/4)</f>
        <v>908.26224695787005</v>
      </c>
      <c r="D49" s="6">
        <f t="shared" si="15"/>
        <v>108.06173283587448</v>
      </c>
      <c r="E49" s="6">
        <f t="shared" si="15"/>
        <v>578.48190030652279</v>
      </c>
      <c r="F49" s="6">
        <f t="shared" si="15"/>
        <v>128.68074688206161</v>
      </c>
      <c r="G49" s="6">
        <f t="shared" si="15"/>
        <v>626.55851400034146</v>
      </c>
      <c r="H49" s="6">
        <f t="shared" si="15"/>
        <v>0</v>
      </c>
      <c r="I49" s="6">
        <f t="shared" si="15"/>
        <v>0</v>
      </c>
      <c r="J49" s="6">
        <f t="shared" si="15"/>
        <v>0</v>
      </c>
    </row>
    <row r="51" spans="1:10" x14ac:dyDescent="0.25">
      <c r="A51" s="4" t="s">
        <v>118</v>
      </c>
      <c r="C51" s="6">
        <f t="shared" ref="C51:J55" si="16">C39-C45</f>
        <v>2368.2802308021628</v>
      </c>
      <c r="D51" s="6">
        <f t="shared" si="16"/>
        <v>744.42135086357234</v>
      </c>
      <c r="E51" s="6">
        <f t="shared" si="16"/>
        <v>727.46303192982396</v>
      </c>
      <c r="F51" s="6">
        <f t="shared" si="16"/>
        <v>196.77377747644067</v>
      </c>
      <c r="G51" s="6">
        <f t="shared" si="16"/>
        <v>550.09266153529472</v>
      </c>
      <c r="H51" s="6">
        <f t="shared" si="16"/>
        <v>0</v>
      </c>
      <c r="I51" s="6">
        <f t="shared" si="16"/>
        <v>0</v>
      </c>
      <c r="J51" s="6">
        <f t="shared" si="16"/>
        <v>0</v>
      </c>
    </row>
    <row r="52" spans="1:10" x14ac:dyDescent="0.25">
      <c r="A52" s="4" t="s">
        <v>119</v>
      </c>
      <c r="C52" s="6">
        <f t="shared" si="16"/>
        <v>2490.7808827101617</v>
      </c>
      <c r="D52" s="6">
        <f t="shared" si="16"/>
        <v>843.66213919442953</v>
      </c>
      <c r="E52" s="6">
        <f t="shared" si="16"/>
        <v>757.13928686303382</v>
      </c>
      <c r="F52" s="6">
        <f t="shared" si="16"/>
        <v>232.3282741361603</v>
      </c>
      <c r="G52" s="6">
        <f t="shared" si="16"/>
        <v>532.82959766556928</v>
      </c>
      <c r="H52" s="6">
        <f t="shared" si="16"/>
        <v>0</v>
      </c>
      <c r="I52" s="6">
        <f t="shared" si="16"/>
        <v>0</v>
      </c>
      <c r="J52" s="6">
        <f t="shared" si="16"/>
        <v>0</v>
      </c>
    </row>
    <row r="53" spans="1:10" x14ac:dyDescent="0.25">
      <c r="A53" s="4" t="s">
        <v>120</v>
      </c>
      <c r="C53" s="6">
        <f t="shared" si="16"/>
        <v>2618.5958561816669</v>
      </c>
      <c r="D53" s="6">
        <f t="shared" si="16"/>
        <v>948.18739560936092</v>
      </c>
      <c r="E53" s="6">
        <f t="shared" si="16"/>
        <v>787.40564863043664</v>
      </c>
      <c r="F53" s="6">
        <f t="shared" si="16"/>
        <v>270.68420859586507</v>
      </c>
      <c r="G53" s="6">
        <f t="shared" si="16"/>
        <v>513.06478897186878</v>
      </c>
      <c r="H53" s="6">
        <f t="shared" si="16"/>
        <v>0</v>
      </c>
      <c r="I53" s="6">
        <f t="shared" si="16"/>
        <v>0</v>
      </c>
      <c r="J53" s="6">
        <f t="shared" si="16"/>
        <v>0</v>
      </c>
    </row>
    <row r="54" spans="1:10" x14ac:dyDescent="0.25">
      <c r="A54" s="4" t="s">
        <v>121</v>
      </c>
      <c r="C54" s="6">
        <f t="shared" si="16"/>
        <v>2751.8518337917944</v>
      </c>
      <c r="D54" s="6">
        <f t="shared" si="16"/>
        <v>1058.2248714839134</v>
      </c>
      <c r="E54" s="6">
        <f t="shared" si="16"/>
        <v>818.19931853964727</v>
      </c>
      <c r="F54" s="6">
        <f t="shared" si="16"/>
        <v>312.02171240181735</v>
      </c>
      <c r="G54" s="6">
        <f t="shared" si="16"/>
        <v>490.61500480442612</v>
      </c>
      <c r="H54" s="6">
        <f t="shared" si="16"/>
        <v>0</v>
      </c>
      <c r="I54" s="6">
        <f t="shared" si="16"/>
        <v>0</v>
      </c>
      <c r="J54" s="6">
        <f t="shared" si="16"/>
        <v>0</v>
      </c>
    </row>
    <row r="55" spans="1:10" x14ac:dyDescent="0.25">
      <c r="A55" s="4" t="s">
        <v>122</v>
      </c>
      <c r="C55" s="6">
        <f t="shared" si="16"/>
        <v>2890.6659336863358</v>
      </c>
      <c r="D55" s="6">
        <f t="shared" si="16"/>
        <v>1174.0112272548899</v>
      </c>
      <c r="E55" s="6">
        <f t="shared" si="16"/>
        <v>849.44581455785817</v>
      </c>
      <c r="F55" s="6">
        <f t="shared" si="16"/>
        <v>356.53145602789886</v>
      </c>
      <c r="G55" s="6">
        <f t="shared" si="16"/>
        <v>465.28588240377451</v>
      </c>
      <c r="H55" s="6">
        <f t="shared" si="16"/>
        <v>0</v>
      </c>
      <c r="I55" s="6">
        <f t="shared" si="16"/>
        <v>0</v>
      </c>
      <c r="J55" s="6">
        <f t="shared" si="16"/>
        <v>0</v>
      </c>
    </row>
    <row r="57" spans="1:10" x14ac:dyDescent="0.25">
      <c r="A57" s="4" t="s">
        <v>123</v>
      </c>
      <c r="C57" s="6">
        <f t="shared" ref="C57:J57" si="17">C51/((1+C16))</f>
        <v>2210.3797987769731</v>
      </c>
      <c r="D57" s="6">
        <f t="shared" si="17"/>
        <v>694.78851967183459</v>
      </c>
      <c r="E57" s="6">
        <f t="shared" si="17"/>
        <v>676.72867229554913</v>
      </c>
      <c r="F57" s="6">
        <f t="shared" si="17"/>
        <v>183.65427241506771</v>
      </c>
      <c r="G57" s="6">
        <f t="shared" si="17"/>
        <v>513.41631395589991</v>
      </c>
      <c r="H57" s="6">
        <f t="shared" si="17"/>
        <v>0</v>
      </c>
      <c r="I57" s="6">
        <f t="shared" si="17"/>
        <v>0</v>
      </c>
      <c r="J57" s="6">
        <f t="shared" si="17"/>
        <v>0</v>
      </c>
    </row>
    <row r="58" spans="1:10" x14ac:dyDescent="0.25">
      <c r="A58" s="4" t="s">
        <v>124</v>
      </c>
      <c r="C58" s="6">
        <f t="shared" ref="C58:J58" si="18">C52/((1+C16)*(1+C16+(C104-C16)*1/5))</f>
        <v>2170.6286140840512</v>
      </c>
      <c r="D58" s="6">
        <f t="shared" si="18"/>
        <v>735.22211153404226</v>
      </c>
      <c r="E58" s="6">
        <f t="shared" si="18"/>
        <v>655.91963241526935</v>
      </c>
      <c r="F58" s="6">
        <f t="shared" si="18"/>
        <v>202.46598293784785</v>
      </c>
      <c r="G58" s="6">
        <f t="shared" si="18"/>
        <v>464.34239926610257</v>
      </c>
      <c r="H58" s="6">
        <f t="shared" si="18"/>
        <v>0</v>
      </c>
      <c r="I58" s="6">
        <f t="shared" si="18"/>
        <v>0</v>
      </c>
      <c r="J58" s="6">
        <f t="shared" si="18"/>
        <v>0</v>
      </c>
    </row>
    <row r="59" spans="1:10" x14ac:dyDescent="0.25">
      <c r="A59" s="4" t="s">
        <v>125</v>
      </c>
      <c r="C59" s="6">
        <f t="shared" ref="C59:J59" si="19">C53/((1+C16)*(1+C16+(C104-C16)*1/5)*(1+C16+(C104-C16)*2/5))</f>
        <v>2131.6559644750355</v>
      </c>
      <c r="D59" s="6">
        <f t="shared" si="19"/>
        <v>771.86760703043035</v>
      </c>
      <c r="E59" s="6">
        <f t="shared" si="19"/>
        <v>635.9348528207089</v>
      </c>
      <c r="F59" s="6">
        <f t="shared" si="19"/>
        <v>220.34924036882393</v>
      </c>
      <c r="G59" s="6">
        <f t="shared" si="19"/>
        <v>417.65804180594978</v>
      </c>
      <c r="H59" s="6">
        <f t="shared" si="19"/>
        <v>0</v>
      </c>
      <c r="I59" s="6">
        <f t="shared" si="19"/>
        <v>0</v>
      </c>
      <c r="J59" s="6">
        <f t="shared" si="19"/>
        <v>0</v>
      </c>
    </row>
    <row r="60" spans="1:10" x14ac:dyDescent="0.25">
      <c r="A60" s="4" t="s">
        <v>126</v>
      </c>
      <c r="C60" s="6">
        <f t="shared" ref="C60:J60" si="20">C54/((1+C16)*(1+C16+(C104-C16)*1/5)*(1+C16+(C104-C16)*2/5)*(1+C16+(C104-C16)*3/5))</f>
        <v>2093.4126717492682</v>
      </c>
      <c r="D60" s="6">
        <f t="shared" si="20"/>
        <v>805.02203218993327</v>
      </c>
      <c r="E60" s="6">
        <f t="shared" si="20"/>
        <v>616.71005157493983</v>
      </c>
      <c r="F60" s="6">
        <f t="shared" si="20"/>
        <v>237.36387205950516</v>
      </c>
      <c r="G60" s="6">
        <f t="shared" si="20"/>
        <v>373.22491545364977</v>
      </c>
      <c r="H60" s="6">
        <f t="shared" si="20"/>
        <v>0</v>
      </c>
      <c r="I60" s="6">
        <f t="shared" si="20"/>
        <v>0</v>
      </c>
      <c r="J60" s="6">
        <f t="shared" si="20"/>
        <v>0</v>
      </c>
    </row>
    <row r="61" spans="1:10" x14ac:dyDescent="0.25">
      <c r="A61" s="4" t="s">
        <v>127</v>
      </c>
      <c r="C61" s="6">
        <f t="shared" ref="C61:J61" si="21">C55/((1+C16)*(1+C16+(C104-C16)*1/5)*(1+C16+(C104-C16)*2/5)*(1+C16+(C104-C16)*3/5)*(1+C16+(C104-C16)*4/5))</f>
        <v>2055.8502389471932</v>
      </c>
      <c r="D61" s="6">
        <f t="shared" si="21"/>
        <v>834.96028854524502</v>
      </c>
      <c r="E61" s="6">
        <f t="shared" si="21"/>
        <v>598.18355755547555</v>
      </c>
      <c r="F61" s="6">
        <f t="shared" si="21"/>
        <v>253.56623556026631</v>
      </c>
      <c r="G61" s="6">
        <f t="shared" si="21"/>
        <v>330.91270816572711</v>
      </c>
      <c r="H61" s="6">
        <f t="shared" si="21"/>
        <v>0</v>
      </c>
      <c r="I61" s="6">
        <f t="shared" si="21"/>
        <v>0</v>
      </c>
      <c r="J61" s="6">
        <f t="shared" si="21"/>
        <v>0</v>
      </c>
    </row>
    <row r="62" spans="1:10" x14ac:dyDescent="0.25">
      <c r="A62" s="3" t="s">
        <v>128</v>
      </c>
    </row>
    <row r="63" spans="1:10" x14ac:dyDescent="0.25">
      <c r="A63" s="4" t="s">
        <v>129</v>
      </c>
      <c r="C63" s="6">
        <f t="shared" ref="C63:J63" si="22">C25*(1+(C6+(C13-C6)*1/5))</f>
        <v>36878.111564316001</v>
      </c>
      <c r="D63" s="6">
        <f t="shared" si="22"/>
        <v>22234.714204988428</v>
      </c>
      <c r="E63" s="6">
        <f t="shared" si="22"/>
        <v>26475.442377422361</v>
      </c>
      <c r="F63" s="6">
        <f t="shared" si="22"/>
        <v>8925.2696345957811</v>
      </c>
      <c r="G63" s="6">
        <f t="shared" si="22"/>
        <v>22904.615475567978</v>
      </c>
      <c r="H63" s="6">
        <f t="shared" si="22"/>
        <v>0</v>
      </c>
      <c r="I63" s="6">
        <f t="shared" si="22"/>
        <v>0</v>
      </c>
      <c r="J63" s="6">
        <f t="shared" si="22"/>
        <v>0</v>
      </c>
    </row>
    <row r="64" spans="1:10" x14ac:dyDescent="0.25">
      <c r="A64" s="4" t="s">
        <v>130</v>
      </c>
      <c r="C64" s="6">
        <f t="shared" ref="C64:J64" si="23">C63*(1+(C6+(C13-C6)*2/5))</f>
        <v>38909.863642067226</v>
      </c>
      <c r="D64" s="6">
        <f t="shared" si="23"/>
        <v>22848.252517295798</v>
      </c>
      <c r="E64" s="6">
        <f t="shared" si="23"/>
        <v>27894.359625717138</v>
      </c>
      <c r="F64" s="6">
        <f t="shared" si="23"/>
        <v>9244.7381702890161</v>
      </c>
      <c r="G64" s="6">
        <f t="shared" si="23"/>
        <v>23669.485620727988</v>
      </c>
      <c r="H64" s="6">
        <f t="shared" si="23"/>
        <v>0</v>
      </c>
      <c r="I64" s="6">
        <f t="shared" si="23"/>
        <v>0</v>
      </c>
      <c r="J64" s="6">
        <f t="shared" si="23"/>
        <v>0</v>
      </c>
    </row>
    <row r="65" spans="1:10" x14ac:dyDescent="0.25">
      <c r="A65" s="4" t="s">
        <v>131</v>
      </c>
      <c r="C65" s="6">
        <f t="shared" ref="C65:J65" si="24">C64*(1+(C6+(C13-C6)*3/5))</f>
        <v>40714.914349072642</v>
      </c>
      <c r="D65" s="6">
        <f t="shared" si="24"/>
        <v>23451.23089773575</v>
      </c>
      <c r="E65" s="6">
        <f t="shared" si="24"/>
        <v>29160.500475955989</v>
      </c>
      <c r="F65" s="6">
        <f t="shared" si="24"/>
        <v>9533.0868123983437</v>
      </c>
      <c r="G65" s="6">
        <f t="shared" si="24"/>
        <v>24346.209678265692</v>
      </c>
      <c r="H65" s="6">
        <f t="shared" si="24"/>
        <v>0</v>
      </c>
      <c r="I65" s="6">
        <f t="shared" si="24"/>
        <v>0</v>
      </c>
      <c r="J65" s="6">
        <f t="shared" si="24"/>
        <v>0</v>
      </c>
    </row>
    <row r="66" spans="1:10" x14ac:dyDescent="0.25">
      <c r="A66" s="4" t="s">
        <v>132</v>
      </c>
      <c r="C66" s="6">
        <f t="shared" ref="C66:J66" si="25">C65*(1+(C6+(C13-C6)*4/5))</f>
        <v>42249.354633702882</v>
      </c>
      <c r="D66" s="6">
        <f t="shared" si="25"/>
        <v>24041.907019271748</v>
      </c>
      <c r="E66" s="6">
        <f t="shared" si="25"/>
        <v>30244.904403031036</v>
      </c>
      <c r="F66" s="6">
        <f t="shared" si="25"/>
        <v>9786.5470439120472</v>
      </c>
      <c r="G66" s="6">
        <f t="shared" si="25"/>
        <v>24925.343317245039</v>
      </c>
      <c r="H66" s="6">
        <f t="shared" si="25"/>
        <v>0</v>
      </c>
      <c r="I66" s="6">
        <f t="shared" si="25"/>
        <v>0</v>
      </c>
      <c r="J66" s="6">
        <f t="shared" si="25"/>
        <v>0</v>
      </c>
    </row>
    <row r="67" spans="1:10" x14ac:dyDescent="0.25">
      <c r="A67" s="4" t="s">
        <v>133</v>
      </c>
      <c r="C67" s="6">
        <f t="shared" ref="C67:J67" si="26">C66*(1+(C6+(C13-C6)*5/5))</f>
        <v>43473.92181585994</v>
      </c>
      <c r="D67" s="6">
        <f t="shared" si="26"/>
        <v>24618.53488175273</v>
      </c>
      <c r="E67" s="6">
        <f t="shared" si="26"/>
        <v>31121.53122208035</v>
      </c>
      <c r="F67" s="6">
        <f t="shared" si="26"/>
        <v>10001.697247708915</v>
      </c>
      <c r="G67" s="6">
        <f t="shared" si="26"/>
        <v>25398.533047877689</v>
      </c>
      <c r="H67" s="6">
        <f t="shared" si="26"/>
        <v>0</v>
      </c>
      <c r="I67" s="6">
        <f t="shared" si="26"/>
        <v>0</v>
      </c>
      <c r="J67" s="6">
        <f t="shared" si="26"/>
        <v>0</v>
      </c>
    </row>
    <row r="69" spans="1:10" x14ac:dyDescent="0.25">
      <c r="A69" s="4" t="s">
        <v>134</v>
      </c>
      <c r="C69" s="11">
        <f t="shared" ref="C69:J69" si="27">IF(ISBLANK(C9),C7,C9)</f>
        <v>0.155</v>
      </c>
      <c r="D69" s="11">
        <f t="shared" si="27"/>
        <v>8.3905688184909108E-2</v>
      </c>
      <c r="E69" s="11">
        <f t="shared" si="27"/>
        <v>8.0999999999999989E-2</v>
      </c>
      <c r="F69" s="11">
        <f t="shared" si="27"/>
        <v>0.08</v>
      </c>
      <c r="G69" s="11">
        <f t="shared" si="27"/>
        <v>6.9999999999999993E-2</v>
      </c>
      <c r="H69" s="11">
        <f t="shared" si="27"/>
        <v>0</v>
      </c>
      <c r="I69" s="11">
        <f t="shared" si="27"/>
        <v>0</v>
      </c>
      <c r="J69" s="11">
        <f t="shared" si="27"/>
        <v>0</v>
      </c>
    </row>
    <row r="70" spans="1:10" x14ac:dyDescent="0.25">
      <c r="A70" s="4" t="s">
        <v>135</v>
      </c>
      <c r="C70" s="11">
        <f t="shared" ref="C70:J70" si="28">IF(ISBLANK(C9),C7,C9)</f>
        <v>0.155</v>
      </c>
      <c r="D70" s="11">
        <f t="shared" si="28"/>
        <v>8.3905688184909108E-2</v>
      </c>
      <c r="E70" s="11">
        <f t="shared" si="28"/>
        <v>8.0999999999999989E-2</v>
      </c>
      <c r="F70" s="11">
        <f t="shared" si="28"/>
        <v>0.08</v>
      </c>
      <c r="G70" s="11">
        <f t="shared" si="28"/>
        <v>6.9999999999999993E-2</v>
      </c>
      <c r="H70" s="11">
        <f t="shared" si="28"/>
        <v>0</v>
      </c>
      <c r="I70" s="11">
        <f t="shared" si="28"/>
        <v>0</v>
      </c>
      <c r="J70" s="11">
        <f t="shared" si="28"/>
        <v>0</v>
      </c>
    </row>
    <row r="71" spans="1:10" x14ac:dyDescent="0.25">
      <c r="A71" s="4" t="s">
        <v>136</v>
      </c>
      <c r="C71" s="11">
        <f t="shared" ref="C71:J71" si="29">IF(ISBLANK(C9),C7,C9)</f>
        <v>0.155</v>
      </c>
      <c r="D71" s="11">
        <f t="shared" si="29"/>
        <v>8.3905688184909108E-2</v>
      </c>
      <c r="E71" s="11">
        <f t="shared" si="29"/>
        <v>8.0999999999999989E-2</v>
      </c>
      <c r="F71" s="11">
        <f t="shared" si="29"/>
        <v>0.08</v>
      </c>
      <c r="G71" s="11">
        <f t="shared" si="29"/>
        <v>6.9999999999999993E-2</v>
      </c>
      <c r="H71" s="11">
        <f t="shared" si="29"/>
        <v>0</v>
      </c>
      <c r="I71" s="11">
        <f t="shared" si="29"/>
        <v>0</v>
      </c>
      <c r="J71" s="11">
        <f t="shared" si="29"/>
        <v>0</v>
      </c>
    </row>
    <row r="72" spans="1:10" x14ac:dyDescent="0.25">
      <c r="A72" s="4" t="s">
        <v>137</v>
      </c>
      <c r="C72" s="11">
        <f t="shared" ref="C72:J72" si="30">IF(ISBLANK(C9),C7,C9)</f>
        <v>0.155</v>
      </c>
      <c r="D72" s="11">
        <f t="shared" si="30"/>
        <v>8.3905688184909108E-2</v>
      </c>
      <c r="E72" s="11">
        <f t="shared" si="30"/>
        <v>8.0999999999999989E-2</v>
      </c>
      <c r="F72" s="11">
        <f t="shared" si="30"/>
        <v>0.08</v>
      </c>
      <c r="G72" s="11">
        <f t="shared" si="30"/>
        <v>6.9999999999999993E-2</v>
      </c>
      <c r="H72" s="11">
        <f t="shared" si="30"/>
        <v>0</v>
      </c>
      <c r="I72" s="11">
        <f t="shared" si="30"/>
        <v>0</v>
      </c>
      <c r="J72" s="11">
        <f t="shared" si="30"/>
        <v>0</v>
      </c>
    </row>
    <row r="73" spans="1:10" x14ac:dyDescent="0.25">
      <c r="A73" s="4" t="s">
        <v>138</v>
      </c>
      <c r="C73" s="11">
        <f t="shared" ref="C73:J73" si="31">IF(ISBLANK(C9),C7,C9)</f>
        <v>0.155</v>
      </c>
      <c r="D73" s="11">
        <f t="shared" si="31"/>
        <v>8.3905688184909108E-2</v>
      </c>
      <c r="E73" s="11">
        <f t="shared" si="31"/>
        <v>8.0999999999999989E-2</v>
      </c>
      <c r="F73" s="11">
        <f t="shared" si="31"/>
        <v>0.08</v>
      </c>
      <c r="G73" s="11">
        <f t="shared" si="31"/>
        <v>6.9999999999999993E-2</v>
      </c>
      <c r="H73" s="11">
        <f t="shared" si="31"/>
        <v>0</v>
      </c>
      <c r="I73" s="11">
        <f t="shared" si="31"/>
        <v>0</v>
      </c>
      <c r="J73" s="11">
        <f t="shared" si="31"/>
        <v>0</v>
      </c>
    </row>
    <row r="75" spans="1:10" x14ac:dyDescent="0.25">
      <c r="A75" s="4" t="s">
        <v>139</v>
      </c>
      <c r="C75" s="6">
        <f t="shared" ref="C75:J79" si="32">C63*C69</f>
        <v>5716.1072924689797</v>
      </c>
      <c r="D75" s="6">
        <f t="shared" si="32"/>
        <v>1865.6189969643283</v>
      </c>
      <c r="E75" s="6">
        <f t="shared" si="32"/>
        <v>2144.5108325712108</v>
      </c>
      <c r="F75" s="6">
        <f t="shared" si="32"/>
        <v>714.02157076766252</v>
      </c>
      <c r="G75" s="6">
        <f t="shared" si="32"/>
        <v>1603.3230832897584</v>
      </c>
      <c r="H75" s="6">
        <f t="shared" si="32"/>
        <v>0</v>
      </c>
      <c r="I75" s="6">
        <f t="shared" si="32"/>
        <v>0</v>
      </c>
      <c r="J75" s="6">
        <f t="shared" si="32"/>
        <v>0</v>
      </c>
    </row>
    <row r="76" spans="1:10" x14ac:dyDescent="0.25">
      <c r="A76" s="4" t="s">
        <v>140</v>
      </c>
      <c r="C76" s="6">
        <f t="shared" si="32"/>
        <v>6031.02886452042</v>
      </c>
      <c r="D76" s="6">
        <f t="shared" si="32"/>
        <v>1917.0983512862858</v>
      </c>
      <c r="E76" s="6">
        <f t="shared" si="32"/>
        <v>2259.443129683088</v>
      </c>
      <c r="F76" s="6">
        <f t="shared" si="32"/>
        <v>739.57905362312135</v>
      </c>
      <c r="G76" s="6">
        <f t="shared" si="32"/>
        <v>1656.863993450959</v>
      </c>
      <c r="H76" s="6">
        <f t="shared" si="32"/>
        <v>0</v>
      </c>
      <c r="I76" s="6">
        <f t="shared" si="32"/>
        <v>0</v>
      </c>
      <c r="J76" s="6">
        <f t="shared" si="32"/>
        <v>0</v>
      </c>
    </row>
    <row r="77" spans="1:10" x14ac:dyDescent="0.25">
      <c r="A77" s="4" t="s">
        <v>141</v>
      </c>
      <c r="C77" s="6">
        <f t="shared" si="32"/>
        <v>6310.8117241062591</v>
      </c>
      <c r="D77" s="6">
        <f t="shared" si="32"/>
        <v>1967.691667257722</v>
      </c>
      <c r="E77" s="6">
        <f t="shared" si="32"/>
        <v>2362.0005385524346</v>
      </c>
      <c r="F77" s="6">
        <f t="shared" si="32"/>
        <v>762.64694499186749</v>
      </c>
      <c r="G77" s="6">
        <f t="shared" si="32"/>
        <v>1704.2346774785983</v>
      </c>
      <c r="H77" s="6">
        <f t="shared" si="32"/>
        <v>0</v>
      </c>
      <c r="I77" s="6">
        <f t="shared" si="32"/>
        <v>0</v>
      </c>
      <c r="J77" s="6">
        <f t="shared" si="32"/>
        <v>0</v>
      </c>
    </row>
    <row r="78" spans="1:10" x14ac:dyDescent="0.25">
      <c r="A78" s="4" t="s">
        <v>142</v>
      </c>
      <c r="C78" s="6">
        <f t="shared" si="32"/>
        <v>6548.6499682239464</v>
      </c>
      <c r="D78" s="6">
        <f t="shared" si="32"/>
        <v>2017.2527537295928</v>
      </c>
      <c r="E78" s="6">
        <f t="shared" si="32"/>
        <v>2449.8372566455137</v>
      </c>
      <c r="F78" s="6">
        <f t="shared" si="32"/>
        <v>782.92376351296377</v>
      </c>
      <c r="G78" s="6">
        <f t="shared" si="32"/>
        <v>1744.7740322071525</v>
      </c>
      <c r="H78" s="6">
        <f t="shared" si="32"/>
        <v>0</v>
      </c>
      <c r="I78" s="6">
        <f t="shared" si="32"/>
        <v>0</v>
      </c>
      <c r="J78" s="6">
        <f t="shared" si="32"/>
        <v>0</v>
      </c>
    </row>
    <row r="79" spans="1:10" x14ac:dyDescent="0.25">
      <c r="A79" s="4" t="s">
        <v>143</v>
      </c>
      <c r="C79" s="6">
        <f t="shared" si="32"/>
        <v>6738.457881458291</v>
      </c>
      <c r="D79" s="6">
        <f t="shared" si="32"/>
        <v>2065.6351113576529</v>
      </c>
      <c r="E79" s="6">
        <f t="shared" si="32"/>
        <v>2520.8440289885079</v>
      </c>
      <c r="F79" s="6">
        <f t="shared" si="32"/>
        <v>800.13577981671324</v>
      </c>
      <c r="G79" s="6">
        <f t="shared" si="32"/>
        <v>1777.897313351438</v>
      </c>
      <c r="H79" s="6">
        <f t="shared" si="32"/>
        <v>0</v>
      </c>
      <c r="I79" s="6">
        <f t="shared" si="32"/>
        <v>0</v>
      </c>
      <c r="J79" s="6">
        <f t="shared" si="32"/>
        <v>0</v>
      </c>
    </row>
    <row r="81" spans="1:10" x14ac:dyDescent="0.25">
      <c r="A81" s="4" t="s">
        <v>144</v>
      </c>
      <c r="C81" s="6">
        <f>C75*(1-Inputs!B22)</f>
        <v>4041.2878557755689</v>
      </c>
      <c r="D81" s="6">
        <f>D75*(1-Inputs!B22)</f>
        <v>1318.9926308537802</v>
      </c>
      <c r="E81" s="6">
        <f>E75*(1-Inputs!B22)</f>
        <v>1516.1691586278462</v>
      </c>
      <c r="F81" s="6">
        <f>F75*(1-Inputs!B22)</f>
        <v>504.81325053273747</v>
      </c>
      <c r="G81" s="6">
        <f>G75*(1-Inputs!B22)</f>
        <v>1133.5494198858594</v>
      </c>
      <c r="H81" s="6">
        <f>H75*(1-Inputs!B22)</f>
        <v>0</v>
      </c>
      <c r="I81" s="6">
        <f>I75*(1-Inputs!B22)</f>
        <v>0</v>
      </c>
      <c r="J81" s="6">
        <f>J75*(1-Inputs!B22)</f>
        <v>0</v>
      </c>
    </row>
    <row r="82" spans="1:10" x14ac:dyDescent="0.25">
      <c r="A82" s="4" t="s">
        <v>145</v>
      </c>
      <c r="C82" s="6">
        <f>C76*(1-Inputs!B22)</f>
        <v>4263.9374072159371</v>
      </c>
      <c r="D82" s="6">
        <f>D76*(1-Inputs!B22)</f>
        <v>1355.3885343594043</v>
      </c>
      <c r="E82" s="6">
        <f>E76*(1-Inputs!B22)</f>
        <v>1597.4262926859435</v>
      </c>
      <c r="F82" s="6">
        <f>F76*(1-Inputs!B22)</f>
        <v>522.88239091154685</v>
      </c>
      <c r="G82" s="6">
        <f>G76*(1-Inputs!B22)</f>
        <v>1171.4028433698281</v>
      </c>
      <c r="H82" s="6">
        <f>H76*(1-Inputs!B22)</f>
        <v>0</v>
      </c>
      <c r="I82" s="6">
        <f>I76*(1-Inputs!B22)</f>
        <v>0</v>
      </c>
      <c r="J82" s="6">
        <f>J76*(1-Inputs!B22)</f>
        <v>0</v>
      </c>
    </row>
    <row r="83" spans="1:10" x14ac:dyDescent="0.25">
      <c r="A83" s="4" t="s">
        <v>146</v>
      </c>
      <c r="C83" s="6">
        <f>C77*(1-Inputs!B22)</f>
        <v>4461.743888943126</v>
      </c>
      <c r="D83" s="6">
        <f>D77*(1-Inputs!B22)</f>
        <v>1391.1580087512095</v>
      </c>
      <c r="E83" s="6">
        <f>E77*(1-Inputs!B22)</f>
        <v>1669.9343807565715</v>
      </c>
      <c r="F83" s="6">
        <f>F77*(1-Inputs!B22)</f>
        <v>539.19139010925039</v>
      </c>
      <c r="G83" s="6">
        <f>G77*(1-Inputs!B22)</f>
        <v>1204.8939169773691</v>
      </c>
      <c r="H83" s="6">
        <f>H77*(1-Inputs!B22)</f>
        <v>0</v>
      </c>
      <c r="I83" s="6">
        <f>I77*(1-Inputs!B22)</f>
        <v>0</v>
      </c>
      <c r="J83" s="6">
        <f>J77*(1-Inputs!B22)</f>
        <v>0</v>
      </c>
    </row>
    <row r="84" spans="1:10" x14ac:dyDescent="0.25">
      <c r="A84" s="4" t="s">
        <v>147</v>
      </c>
      <c r="C84" s="6">
        <f>C78*(1-Inputs!B22)</f>
        <v>4629.8955275343305</v>
      </c>
      <c r="D84" s="6">
        <f>D78*(1-Inputs!B22)</f>
        <v>1426.1976968868223</v>
      </c>
      <c r="E84" s="6">
        <f>E78*(1-Inputs!B22)</f>
        <v>1732.0349404483784</v>
      </c>
      <c r="F84" s="6">
        <f>F78*(1-Inputs!B22)</f>
        <v>553.52710080366546</v>
      </c>
      <c r="G84" s="6">
        <f>G78*(1-Inputs!B22)</f>
        <v>1233.555240770457</v>
      </c>
      <c r="H84" s="6">
        <f>H78*(1-Inputs!B22)</f>
        <v>0</v>
      </c>
      <c r="I84" s="6">
        <f>I78*(1-Inputs!B22)</f>
        <v>0</v>
      </c>
      <c r="J84" s="6">
        <f>J78*(1-Inputs!B22)</f>
        <v>0</v>
      </c>
    </row>
    <row r="85" spans="1:10" x14ac:dyDescent="0.25">
      <c r="A85" s="4" t="s">
        <v>148</v>
      </c>
      <c r="C85" s="6">
        <f>C79*(1-Inputs!B22)</f>
        <v>4764.0897221910118</v>
      </c>
      <c r="D85" s="6">
        <f>D79*(1-Inputs!B22)</f>
        <v>1460.4040237298607</v>
      </c>
      <c r="E85" s="6">
        <f>E79*(1-Inputs!B22)</f>
        <v>1782.2367284948753</v>
      </c>
      <c r="F85" s="6">
        <f>F79*(1-Inputs!B22)</f>
        <v>565.69599633041628</v>
      </c>
      <c r="G85" s="6">
        <f>G79*(1-Inputs!B22)</f>
        <v>1256.9734005394669</v>
      </c>
      <c r="H85" s="6">
        <f>H79*(1-Inputs!B22)</f>
        <v>0</v>
      </c>
      <c r="I85" s="6">
        <f>I79*(1-Inputs!B22)</f>
        <v>0</v>
      </c>
      <c r="J85" s="6">
        <f>J79*(1-Inputs!B22)</f>
        <v>0</v>
      </c>
    </row>
    <row r="87" spans="1:10" x14ac:dyDescent="0.25">
      <c r="A87" s="4" t="s">
        <v>149</v>
      </c>
      <c r="C87" s="6">
        <f t="shared" ref="C87:J87" si="33">C63*MAX(IF(ISBLANK(C26),C12,C26),0)</f>
        <v>966.20652298507923</v>
      </c>
      <c r="D87" s="6">
        <f t="shared" si="33"/>
        <v>111.17357102494213</v>
      </c>
      <c r="E87" s="6">
        <f t="shared" si="33"/>
        <v>614.2302631561987</v>
      </c>
      <c r="F87" s="6">
        <f t="shared" si="33"/>
        <v>133.87904451893672</v>
      </c>
      <c r="G87" s="6">
        <f t="shared" si="33"/>
        <v>650.49107950613063</v>
      </c>
      <c r="H87" s="6">
        <f t="shared" si="33"/>
        <v>0</v>
      </c>
      <c r="I87" s="6">
        <f t="shared" si="33"/>
        <v>0</v>
      </c>
      <c r="J87" s="6">
        <f t="shared" si="33"/>
        <v>0</v>
      </c>
    </row>
    <row r="88" spans="1:10" x14ac:dyDescent="0.25">
      <c r="A88" s="4" t="s">
        <v>150</v>
      </c>
      <c r="C88" s="6">
        <f t="shared" ref="C88:J88" si="34">C64*MAX(IF(ISBLANK(C26),C12,C26),0)</f>
        <v>1019.4384274221613</v>
      </c>
      <c r="D88" s="6">
        <f t="shared" si="34"/>
        <v>114.241262586479</v>
      </c>
      <c r="E88" s="6">
        <f t="shared" si="34"/>
        <v>647.14914331663749</v>
      </c>
      <c r="F88" s="6">
        <f t="shared" si="34"/>
        <v>138.67107255433524</v>
      </c>
      <c r="G88" s="6">
        <f t="shared" si="34"/>
        <v>672.21339162867491</v>
      </c>
      <c r="H88" s="6">
        <f t="shared" si="34"/>
        <v>0</v>
      </c>
      <c r="I88" s="6">
        <f t="shared" si="34"/>
        <v>0</v>
      </c>
      <c r="J88" s="6">
        <f t="shared" si="34"/>
        <v>0</v>
      </c>
    </row>
    <row r="89" spans="1:10" x14ac:dyDescent="0.25">
      <c r="A89" s="4" t="s">
        <v>151</v>
      </c>
      <c r="C89" s="6">
        <f t="shared" ref="C89:J89" si="35">C65*MAX(IF(ISBLANK(C26),C12,C26),0)</f>
        <v>1066.7307559457033</v>
      </c>
      <c r="D89" s="6">
        <f t="shared" si="35"/>
        <v>117.25615448867875</v>
      </c>
      <c r="E89" s="6">
        <f t="shared" si="35"/>
        <v>676.52361104217891</v>
      </c>
      <c r="F89" s="6">
        <f t="shared" si="35"/>
        <v>142.99630218597514</v>
      </c>
      <c r="G89" s="6">
        <f t="shared" si="35"/>
        <v>691.43235486274568</v>
      </c>
      <c r="H89" s="6">
        <f t="shared" si="35"/>
        <v>0</v>
      </c>
      <c r="I89" s="6">
        <f t="shared" si="35"/>
        <v>0</v>
      </c>
      <c r="J89" s="6">
        <f t="shared" si="35"/>
        <v>0</v>
      </c>
    </row>
    <row r="90" spans="1:10" x14ac:dyDescent="0.25">
      <c r="A90" s="4" t="s">
        <v>152</v>
      </c>
      <c r="C90" s="6">
        <f t="shared" ref="C90:J90" si="36">C66*MAX(IF(ISBLANK(C26),C12,C26),0)</f>
        <v>1106.9330914030156</v>
      </c>
      <c r="D90" s="6">
        <f t="shared" si="36"/>
        <v>120.20953509635875</v>
      </c>
      <c r="E90" s="6">
        <f t="shared" si="36"/>
        <v>701.68178215032003</v>
      </c>
      <c r="F90" s="6">
        <f t="shared" si="36"/>
        <v>146.7982056586807</v>
      </c>
      <c r="G90" s="6">
        <f t="shared" si="36"/>
        <v>707.8797502097591</v>
      </c>
      <c r="H90" s="6">
        <f t="shared" si="36"/>
        <v>0</v>
      </c>
      <c r="I90" s="6">
        <f t="shared" si="36"/>
        <v>0</v>
      </c>
      <c r="J90" s="6">
        <f t="shared" si="36"/>
        <v>0</v>
      </c>
    </row>
    <row r="91" spans="1:10" x14ac:dyDescent="0.25">
      <c r="A91" s="4" t="s">
        <v>153</v>
      </c>
      <c r="C91" s="6">
        <f t="shared" ref="C91:J91" si="37">C67*MAX(IF(ISBLANK(C26),C12,C26),0)</f>
        <v>1139.0167515755304</v>
      </c>
      <c r="D91" s="6">
        <f t="shared" si="37"/>
        <v>123.09267440876366</v>
      </c>
      <c r="E91" s="6">
        <f t="shared" si="37"/>
        <v>722.01952435226406</v>
      </c>
      <c r="F91" s="6">
        <f t="shared" si="37"/>
        <v>150.0254587156337</v>
      </c>
      <c r="G91" s="6">
        <f t="shared" si="37"/>
        <v>721.31833855972639</v>
      </c>
      <c r="H91" s="6">
        <f t="shared" si="37"/>
        <v>0</v>
      </c>
      <c r="I91" s="6">
        <f t="shared" si="37"/>
        <v>0</v>
      </c>
      <c r="J91" s="6">
        <f t="shared" si="37"/>
        <v>0</v>
      </c>
    </row>
    <row r="93" spans="1:10" x14ac:dyDescent="0.25">
      <c r="A93" s="4" t="s">
        <v>154</v>
      </c>
      <c r="C93" s="6">
        <f t="shared" ref="C93:J97" si="38">C81-C87</f>
        <v>3075.0813327904898</v>
      </c>
      <c r="D93" s="6">
        <f t="shared" si="38"/>
        <v>1207.8190598288379</v>
      </c>
      <c r="E93" s="6">
        <f t="shared" si="38"/>
        <v>901.93889547164747</v>
      </c>
      <c r="F93" s="6">
        <f t="shared" si="38"/>
        <v>370.93420601380075</v>
      </c>
      <c r="G93" s="6">
        <f t="shared" si="38"/>
        <v>483.05834037972875</v>
      </c>
      <c r="H93" s="6">
        <f t="shared" si="38"/>
        <v>0</v>
      </c>
      <c r="I93" s="6">
        <f t="shared" si="38"/>
        <v>0</v>
      </c>
      <c r="J93" s="6">
        <f t="shared" si="38"/>
        <v>0</v>
      </c>
    </row>
    <row r="94" spans="1:10" x14ac:dyDescent="0.25">
      <c r="A94" s="4" t="s">
        <v>155</v>
      </c>
      <c r="C94" s="6">
        <f t="shared" si="38"/>
        <v>3244.498979793776</v>
      </c>
      <c r="D94" s="6">
        <f t="shared" si="38"/>
        <v>1241.1472717729253</v>
      </c>
      <c r="E94" s="6">
        <f t="shared" si="38"/>
        <v>950.27714936930602</v>
      </c>
      <c r="F94" s="6">
        <f t="shared" si="38"/>
        <v>384.21131835721161</v>
      </c>
      <c r="G94" s="6">
        <f t="shared" si="38"/>
        <v>499.18945174115322</v>
      </c>
      <c r="H94" s="6">
        <f t="shared" si="38"/>
        <v>0</v>
      </c>
      <c r="I94" s="6">
        <f t="shared" si="38"/>
        <v>0</v>
      </c>
      <c r="J94" s="6">
        <f t="shared" si="38"/>
        <v>0</v>
      </c>
    </row>
    <row r="95" spans="1:10" x14ac:dyDescent="0.25">
      <c r="A95" s="4" t="s">
        <v>156</v>
      </c>
      <c r="C95" s="6">
        <f t="shared" si="38"/>
        <v>3395.0131329974229</v>
      </c>
      <c r="D95" s="6">
        <f t="shared" si="38"/>
        <v>1273.9018542625308</v>
      </c>
      <c r="E95" s="6">
        <f t="shared" si="38"/>
        <v>993.41076971439259</v>
      </c>
      <c r="F95" s="6">
        <f t="shared" si="38"/>
        <v>396.19508792327525</v>
      </c>
      <c r="G95" s="6">
        <f t="shared" si="38"/>
        <v>513.46156211462346</v>
      </c>
      <c r="H95" s="6">
        <f t="shared" si="38"/>
        <v>0</v>
      </c>
      <c r="I95" s="6">
        <f t="shared" si="38"/>
        <v>0</v>
      </c>
      <c r="J95" s="6">
        <f t="shared" si="38"/>
        <v>0</v>
      </c>
    </row>
    <row r="96" spans="1:10" x14ac:dyDescent="0.25">
      <c r="A96" s="4" t="s">
        <v>157</v>
      </c>
      <c r="C96" s="6">
        <f t="shared" si="38"/>
        <v>3522.9624361313149</v>
      </c>
      <c r="D96" s="6">
        <f t="shared" si="38"/>
        <v>1305.9881617904637</v>
      </c>
      <c r="E96" s="6">
        <f t="shared" si="38"/>
        <v>1030.3531582980584</v>
      </c>
      <c r="F96" s="6">
        <f t="shared" si="38"/>
        <v>406.72889514498479</v>
      </c>
      <c r="G96" s="6">
        <f t="shared" si="38"/>
        <v>525.67549056069788</v>
      </c>
      <c r="H96" s="6">
        <f t="shared" si="38"/>
        <v>0</v>
      </c>
      <c r="I96" s="6">
        <f t="shared" si="38"/>
        <v>0</v>
      </c>
      <c r="J96" s="6">
        <f t="shared" si="38"/>
        <v>0</v>
      </c>
    </row>
    <row r="97" spans="1:11" x14ac:dyDescent="0.25">
      <c r="A97" s="4" t="s">
        <v>158</v>
      </c>
      <c r="C97" s="6">
        <f t="shared" si="38"/>
        <v>3625.0729706154816</v>
      </c>
      <c r="D97" s="6">
        <f t="shared" si="38"/>
        <v>1337.3113493210969</v>
      </c>
      <c r="E97" s="6">
        <f t="shared" si="38"/>
        <v>1060.2172041426111</v>
      </c>
      <c r="F97" s="6">
        <f t="shared" si="38"/>
        <v>415.67053761478257</v>
      </c>
      <c r="G97" s="6">
        <f t="shared" si="38"/>
        <v>535.65506197974048</v>
      </c>
      <c r="H97" s="6">
        <f t="shared" si="38"/>
        <v>0</v>
      </c>
      <c r="I97" s="6">
        <f t="shared" si="38"/>
        <v>0</v>
      </c>
      <c r="J97" s="6">
        <f t="shared" si="38"/>
        <v>0</v>
      </c>
    </row>
    <row r="99" spans="1:11" x14ac:dyDescent="0.25">
      <c r="A99" s="4" t="s">
        <v>159</v>
      </c>
      <c r="C99" s="6">
        <f t="shared" ref="C99:J99" si="39">C93/(((1+C16)*(1+C16+(C104-C16)*1/5)*(1+C16+(C104-C16)*2/5)*(1+C16+(C104-C16)*3/5)*(1+C16+(C104-C16)*4/5))*(1+C104)^1)</f>
        <v>2045.4865419381074</v>
      </c>
      <c r="D99" s="6">
        <f t="shared" si="39"/>
        <v>803.41863014539979</v>
      </c>
      <c r="E99" s="6">
        <f t="shared" si="39"/>
        <v>594.04911825759052</v>
      </c>
      <c r="F99" s="6">
        <f t="shared" si="39"/>
        <v>246.73849054171376</v>
      </c>
      <c r="G99" s="6">
        <f t="shared" si="39"/>
        <v>321.32136593637625</v>
      </c>
      <c r="H99" s="6">
        <f t="shared" si="39"/>
        <v>0</v>
      </c>
      <c r="I99" s="6">
        <f t="shared" si="39"/>
        <v>0</v>
      </c>
      <c r="J99" s="6">
        <f t="shared" si="39"/>
        <v>0</v>
      </c>
    </row>
    <row r="100" spans="1:11" x14ac:dyDescent="0.25">
      <c r="A100" s="4" t="s">
        <v>160</v>
      </c>
      <c r="C100" s="6">
        <f t="shared" ref="C100:J100" si="40">C94/(((1+C16)*(1+C16+(C104-C16)*1/5)*(1+C16+(C104-C16)*2/5)*(1+C16+(C104-C16)*3/5)*(1+C16+(C104-C16)*4/5))*(1+C104)^2)</f>
        <v>2018.5248976715577</v>
      </c>
      <c r="D100" s="6">
        <f t="shared" si="40"/>
        <v>772.16441902226018</v>
      </c>
      <c r="E100" s="6">
        <f t="shared" si="40"/>
        <v>585.38551920477732</v>
      </c>
      <c r="F100" s="6">
        <f t="shared" si="40"/>
        <v>239.03231805625009</v>
      </c>
      <c r="G100" s="6">
        <f t="shared" si="40"/>
        <v>310.56454117257209</v>
      </c>
      <c r="H100" s="6">
        <f t="shared" si="40"/>
        <v>0</v>
      </c>
      <c r="I100" s="6">
        <f t="shared" si="40"/>
        <v>0</v>
      </c>
      <c r="J100" s="6">
        <f t="shared" si="40"/>
        <v>0</v>
      </c>
    </row>
    <row r="101" spans="1:11" x14ac:dyDescent="0.25">
      <c r="A101" s="4" t="s">
        <v>161</v>
      </c>
      <c r="C101" s="6">
        <f t="shared" ref="C101:J101" si="41">C95/(((1+C16)*(1+C16+(C104-C16)*1/5)*(1+C16+(C104-C16)*2/5)*(1+C16+(C104-C16)*3/5)*(1+C16+(C104-C16)*4/5))*(1+C104)^3)</f>
        <v>1975.4879114081527</v>
      </c>
      <c r="D101" s="6">
        <f t="shared" si="41"/>
        <v>741.25713652076479</v>
      </c>
      <c r="E101" s="6">
        <f t="shared" si="41"/>
        <v>572.35700422115826</v>
      </c>
      <c r="F101" s="6">
        <f t="shared" si="41"/>
        <v>230.53772580275748</v>
      </c>
      <c r="G101" s="6">
        <f t="shared" si="41"/>
        <v>298.77266131063152</v>
      </c>
      <c r="H101" s="6">
        <f t="shared" si="41"/>
        <v>0</v>
      </c>
      <c r="I101" s="6">
        <f t="shared" si="41"/>
        <v>0</v>
      </c>
      <c r="J101" s="6">
        <f t="shared" si="41"/>
        <v>0</v>
      </c>
    </row>
    <row r="102" spans="1:11" x14ac:dyDescent="0.25">
      <c r="A102" s="4" t="s">
        <v>162</v>
      </c>
      <c r="C102" s="6">
        <f t="shared" ref="C102:J102" si="42">C96/(((1+C16)*(1+C16+(C104-C16)*1/5)*(1+C16+(C104-C16)*2/5)*(1+C16+(C104-C16)*3/5)*(1+C16+(C104-C16)*4/5))*(1+C104)^4)</f>
        <v>1917.2881121402424</v>
      </c>
      <c r="D102" s="6">
        <f t="shared" si="42"/>
        <v>710.75284581984431</v>
      </c>
      <c r="E102" s="6">
        <f t="shared" si="42"/>
        <v>555.22714904363056</v>
      </c>
      <c r="F102" s="6">
        <f t="shared" si="42"/>
        <v>221.35248094832301</v>
      </c>
      <c r="G102" s="6">
        <f t="shared" si="42"/>
        <v>286.08632285114408</v>
      </c>
      <c r="H102" s="6">
        <f t="shared" si="42"/>
        <v>0</v>
      </c>
      <c r="I102" s="6">
        <f t="shared" si="42"/>
        <v>0</v>
      </c>
      <c r="J102" s="6">
        <f t="shared" si="42"/>
        <v>0</v>
      </c>
    </row>
    <row r="103" spans="1:11" x14ac:dyDescent="0.25">
      <c r="A103" s="4" t="s">
        <v>163</v>
      </c>
      <c r="C103" s="6">
        <f t="shared" ref="C103:J103" si="43">C97/(((1+C16)*(1+C16+(C104-C16)*1/5)*(1+C16+(C104-C16)*2/5)*(1+C16+(C104-C16)*3/5)*(1+C16+(C104-C16)*4/5))*(1+C104)^5)</f>
        <v>1845.1962751359611</v>
      </c>
      <c r="D103" s="6">
        <f t="shared" si="43"/>
        <v>680.70406870882198</v>
      </c>
      <c r="E103" s="6">
        <f t="shared" si="43"/>
        <v>534.35008582305716</v>
      </c>
      <c r="F103" s="6">
        <f t="shared" si="43"/>
        <v>211.58021753154819</v>
      </c>
      <c r="G103" s="6">
        <f t="shared" si="43"/>
        <v>272.65347018791908</v>
      </c>
      <c r="H103" s="6">
        <f t="shared" si="43"/>
        <v>0</v>
      </c>
      <c r="I103" s="6">
        <f t="shared" si="43"/>
        <v>0</v>
      </c>
      <c r="J103" s="6">
        <f t="shared" si="43"/>
        <v>0</v>
      </c>
    </row>
    <row r="104" spans="1:11" x14ac:dyDescent="0.25">
      <c r="A104" s="4" t="s">
        <v>164</v>
      </c>
      <c r="C104" s="11">
        <f>MAX((Inputs!B18+((1+(1-Inputs!B22)*(Inputs!B36/(1-Inputs!B36)))/(1+(1-Inputs!B22)*0.25))*Inputs!B19+IF(ISBLANK(C17),Inputs!B24,C17)+Inputs!B25+Inputs!B39)*(1-Inputs!B36)+Inputs!B38*Inputs!B36,C15)</f>
        <v>6.918670757304142E-2</v>
      </c>
      <c r="D104" s="11">
        <f>MAX((Inputs!B18+((1+(1-Inputs!B22)*(Inputs!B36/(1-Inputs!B36)))/(1+(1-Inputs!B22)*0.25))*Inputs!B19+IF(ISBLANK(D17),Inputs!B24,D17)+Inputs!B25+Inputs!B39)*(1-Inputs!B36)+Inputs!B38*Inputs!B36,D15)</f>
        <v>6.918670757304142E-2</v>
      </c>
      <c r="E104" s="11">
        <f>MAX((Inputs!B18+((1+(1-Inputs!B22)*(Inputs!B36/(1-Inputs!B36)))/(1+(1-Inputs!B22)*0.25))*Inputs!B19+IF(ISBLANK(E17),Inputs!B24,E17)+Inputs!B25+Inputs!B39)*(1-Inputs!B36)+Inputs!B38*Inputs!B36,E15)</f>
        <v>6.918670757304142E-2</v>
      </c>
      <c r="F104" s="11">
        <f>MAX((Inputs!B18+((1+(1-Inputs!B22)*(Inputs!B36/(1-Inputs!B36)))/(1+(1-Inputs!B22)*0.25))*Inputs!B19+IF(ISBLANK(F17),Inputs!B24,F17)+Inputs!B25+Inputs!B39)*(1-Inputs!B36)+Inputs!B38*Inputs!B36,F15)</f>
        <v>6.918670757304142E-2</v>
      </c>
      <c r="G104" s="11">
        <f>MAX((Inputs!B18+((1+(1-Inputs!B22)*(Inputs!B36/(1-Inputs!B36)))/(1+(1-Inputs!B22)*0.25))*Inputs!B19+IF(ISBLANK(G17),Inputs!B24,G17)+Inputs!B25+Inputs!B39)*(1-Inputs!B36)+Inputs!B38*Inputs!B36,G15)</f>
        <v>6.918670757304142E-2</v>
      </c>
      <c r="H104" s="11">
        <f>MAX((Inputs!B18+((1+(1-Inputs!B22)*(Inputs!B36/(1-Inputs!B36)))/(1+(1-Inputs!B22)*0.25))*Inputs!B19+IF(ISBLANK(H17),Inputs!B24,H17)+Inputs!B25+Inputs!B39)*(1-Inputs!B36)+Inputs!B38*Inputs!B36,H15)</f>
        <v>6.918670757304142E-2</v>
      </c>
      <c r="I104" s="11">
        <f>MAX((Inputs!B18+((1+(1-Inputs!B22)*(Inputs!B36/(1-Inputs!B36)))/(1+(1-Inputs!B22)*0.25))*Inputs!B19+IF(ISBLANK(I17),Inputs!B24,I17)+Inputs!B25+Inputs!B39)*(1-Inputs!B36)+Inputs!B38*Inputs!B36,I15)</f>
        <v>6.918670757304142E-2</v>
      </c>
      <c r="J104" s="11">
        <f>MAX((Inputs!B18+((1+(1-Inputs!B22)*(Inputs!B36/(1-Inputs!B36)))/(1+(1-Inputs!B22)*0.25))*Inputs!B19+IF(ISBLANK(J17),Inputs!B24,J17)+Inputs!B25+Inputs!B39)*(1-Inputs!B36)+Inputs!B38*Inputs!B36,J15)</f>
        <v>6.918670757304142E-2</v>
      </c>
    </row>
    <row r="105" spans="1:11" x14ac:dyDescent="0.25">
      <c r="A105" s="4" t="s">
        <v>165</v>
      </c>
      <c r="C105" s="6">
        <f t="shared" ref="C105:J105" si="44">SUM(C57:C61,C99:C103)</f>
        <v>20463.911026326543</v>
      </c>
      <c r="D105" s="6">
        <f t="shared" si="44"/>
        <v>7550.1576591885769</v>
      </c>
      <c r="E105" s="6">
        <f t="shared" si="44"/>
        <v>6024.8456432121575</v>
      </c>
      <c r="F105" s="6">
        <f t="shared" si="44"/>
        <v>2246.6408362221036</v>
      </c>
      <c r="G105" s="6">
        <f t="shared" si="44"/>
        <v>3588.9527401059722</v>
      </c>
      <c r="H105" s="6">
        <f t="shared" si="44"/>
        <v>0</v>
      </c>
      <c r="I105" s="6">
        <f t="shared" si="44"/>
        <v>0</v>
      </c>
      <c r="J105" s="6">
        <f t="shared" si="44"/>
        <v>0</v>
      </c>
    </row>
    <row r="106" spans="1:11" x14ac:dyDescent="0.25">
      <c r="A106" s="4" t="s">
        <v>166</v>
      </c>
      <c r="C106" s="6">
        <f t="shared" ref="C106:J106" si="45">IF(C5=0,0,C97*(1+C13)/(C104-C13))</f>
        <v>92784.029654820682</v>
      </c>
      <c r="D106" s="6">
        <f t="shared" si="45"/>
        <v>30294.519915069784</v>
      </c>
      <c r="E106" s="6">
        <f t="shared" si="45"/>
        <v>27136.343270082412</v>
      </c>
      <c r="F106" s="6">
        <f t="shared" si="45"/>
        <v>8999.7228911188358</v>
      </c>
      <c r="G106" s="6">
        <f t="shared" si="45"/>
        <v>10872.464333085174</v>
      </c>
      <c r="H106" s="6">
        <f t="shared" si="45"/>
        <v>0</v>
      </c>
      <c r="I106" s="6">
        <f t="shared" si="45"/>
        <v>0</v>
      </c>
      <c r="J106" s="6">
        <f t="shared" si="45"/>
        <v>0</v>
      </c>
    </row>
    <row r="107" spans="1:11" x14ac:dyDescent="0.25">
      <c r="A107" s="4" t="s">
        <v>167</v>
      </c>
      <c r="C107" s="6">
        <f t="shared" ref="C107:J107" si="46">C106/(((1+C16)*(1+C16+(C104-C16)*1/5)*(1+C16+(C104-C16)*2/5)*(1+C16+(C104-C16)*3/5)*(1+C16+(C104-C16)*4/5))*(1+C104)^5)</f>
        <v>47227.944733512973</v>
      </c>
      <c r="D107" s="6">
        <f t="shared" si="46"/>
        <v>15420.195885002588</v>
      </c>
      <c r="E107" s="6">
        <f t="shared" si="46"/>
        <v>13676.732747436177</v>
      </c>
      <c r="F107" s="6">
        <f t="shared" si="46"/>
        <v>4580.9436914945272</v>
      </c>
      <c r="G107" s="6">
        <f t="shared" si="46"/>
        <v>5534.1867188817341</v>
      </c>
      <c r="H107" s="6">
        <f t="shared" si="46"/>
        <v>0</v>
      </c>
      <c r="I107" s="6">
        <f t="shared" si="46"/>
        <v>0</v>
      </c>
      <c r="J107" s="6">
        <f t="shared" si="46"/>
        <v>0</v>
      </c>
    </row>
    <row r="109" spans="1:11" x14ac:dyDescent="0.25">
      <c r="A109" s="19" t="s">
        <v>168</v>
      </c>
      <c r="C109" s="20">
        <f t="shared" ref="C109:J109" si="47">C105+C107</f>
        <v>67691.855759839513</v>
      </c>
      <c r="D109" s="20">
        <f t="shared" si="47"/>
        <v>22970.353544191166</v>
      </c>
      <c r="E109" s="20">
        <f t="shared" si="47"/>
        <v>19701.578390648334</v>
      </c>
      <c r="F109" s="20">
        <f t="shared" si="47"/>
        <v>6827.5845277166309</v>
      </c>
      <c r="G109" s="20">
        <f t="shared" si="47"/>
        <v>9123.1394589877054</v>
      </c>
      <c r="H109" s="20">
        <f t="shared" si="47"/>
        <v>0</v>
      </c>
      <c r="I109" s="20">
        <f t="shared" si="47"/>
        <v>0</v>
      </c>
      <c r="J109" s="20">
        <f t="shared" si="47"/>
        <v>0</v>
      </c>
      <c r="K109" s="20">
        <f>SUM(C109:J109)</f>
        <v>126314.51168138336</v>
      </c>
    </row>
    <row r="110" spans="1:11" x14ac:dyDescent="0.25">
      <c r="A110" s="4" t="s">
        <v>169</v>
      </c>
      <c r="K110" s="11">
        <f>IFERROR(SUMPRODUCT(C109:J109,C16:J16)/SUM(C109:J109),0)</f>
        <v>7.1987110031823384E-2</v>
      </c>
    </row>
    <row r="111" spans="1:11" x14ac:dyDescent="0.25">
      <c r="A111" s="4" t="s">
        <v>170</v>
      </c>
      <c r="K111" s="5">
        <v>7523</v>
      </c>
    </row>
    <row r="112" spans="1:11" x14ac:dyDescent="0.25">
      <c r="A112" s="4" t="s">
        <v>171</v>
      </c>
      <c r="K112" s="5">
        <v>396</v>
      </c>
    </row>
    <row r="113" spans="1:11" x14ac:dyDescent="0.25">
      <c r="A113" s="4" t="s">
        <v>172</v>
      </c>
      <c r="K113" s="5">
        <v>-5640.3581333136808</v>
      </c>
    </row>
    <row r="114" spans="1:11" x14ac:dyDescent="0.25">
      <c r="A114" s="4" t="s">
        <v>173</v>
      </c>
      <c r="K114" s="5">
        <v>0</v>
      </c>
    </row>
    <row r="115" spans="1:11" x14ac:dyDescent="0.25">
      <c r="A115" s="4" t="s">
        <v>174</v>
      </c>
      <c r="K115" s="5">
        <v>0</v>
      </c>
    </row>
    <row r="116" spans="1:11" x14ac:dyDescent="0.25">
      <c r="A116" s="4" t="s">
        <v>175</v>
      </c>
      <c r="K116" s="5">
        <v>0</v>
      </c>
    </row>
    <row r="117" spans="1:11" x14ac:dyDescent="0.25">
      <c r="A117" s="4" t="s">
        <v>176</v>
      </c>
      <c r="K117" s="5">
        <v>0</v>
      </c>
    </row>
    <row r="118" spans="1:11" x14ac:dyDescent="0.25">
      <c r="A118" s="4" t="s">
        <v>177</v>
      </c>
      <c r="K118" s="5">
        <v>0</v>
      </c>
    </row>
    <row r="119" spans="1:11" x14ac:dyDescent="0.25">
      <c r="A119" s="4" t="s">
        <v>178</v>
      </c>
      <c r="K119" s="20">
        <f>K109+K113+K114+K115+K116+K117+K118+K121-K111-K112</f>
        <v>111371.15354806968</v>
      </c>
    </row>
    <row r="120" spans="1:11" x14ac:dyDescent="0.25">
      <c r="A120" s="4" t="s">
        <v>179</v>
      </c>
      <c r="K120" s="6">
        <f>Inputs!B11</f>
        <v>1150</v>
      </c>
    </row>
    <row r="121" spans="1:11" x14ac:dyDescent="0.25">
      <c r="A121" s="4" t="s">
        <v>180</v>
      </c>
      <c r="K121" s="21">
        <f>-(Inputs!B41+Inputs!B42)</f>
        <v>-1384</v>
      </c>
    </row>
    <row r="122" spans="1:11" ht="15.75" customHeight="1" x14ac:dyDescent="0.25">
      <c r="A122" s="4" t="s">
        <v>181</v>
      </c>
      <c r="K122" s="22">
        <f>K119/K120</f>
        <v>96.844481346147546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2"/>
  <sheetViews>
    <sheetView workbookViewId="0"/>
  </sheetViews>
  <sheetFormatPr baseColWidth="10" defaultColWidth="9.140625" defaultRowHeight="15" x14ac:dyDescent="0.25"/>
  <cols>
    <col min="1" max="1" width="30" customWidth="1"/>
    <col min="2" max="2" width="4" customWidth="1"/>
    <col min="3" max="11" width="14" customWidth="1"/>
  </cols>
  <sheetData>
    <row r="1" spans="1:11" ht="18.75" customHeight="1" x14ac:dyDescent="0.3">
      <c r="A1" s="1" t="s">
        <v>193</v>
      </c>
    </row>
    <row r="2" spans="1:11" x14ac:dyDescent="0.25">
      <c r="A2" s="2" t="s">
        <v>56</v>
      </c>
    </row>
    <row r="3" spans="1:11" x14ac:dyDescent="0.25">
      <c r="C3" s="13" t="s">
        <v>57</v>
      </c>
      <c r="D3" s="13" t="s">
        <v>58</v>
      </c>
      <c r="E3" s="13" t="s">
        <v>59</v>
      </c>
      <c r="F3" s="13" t="s">
        <v>60</v>
      </c>
      <c r="G3" s="13" t="s">
        <v>61</v>
      </c>
      <c r="H3" s="13" t="s">
        <v>62</v>
      </c>
      <c r="I3" s="13" t="s">
        <v>63</v>
      </c>
      <c r="J3" s="13" t="s">
        <v>64</v>
      </c>
      <c r="K3" s="13" t="s">
        <v>65</v>
      </c>
    </row>
    <row r="4" spans="1:11" x14ac:dyDescent="0.25">
      <c r="A4" s="4" t="s">
        <v>66</v>
      </c>
      <c r="C4" s="14" t="s">
        <v>57</v>
      </c>
      <c r="D4" s="14" t="s">
        <v>58</v>
      </c>
      <c r="E4" s="14" t="s">
        <v>59</v>
      </c>
      <c r="F4" s="14" t="s">
        <v>60</v>
      </c>
      <c r="G4" s="14" t="s">
        <v>61</v>
      </c>
      <c r="H4" s="14"/>
      <c r="I4" s="14"/>
      <c r="J4" s="14"/>
    </row>
    <row r="5" spans="1:11" x14ac:dyDescent="0.25">
      <c r="A5" s="4" t="s">
        <v>67</v>
      </c>
      <c r="C5" s="5">
        <v>24430</v>
      </c>
      <c r="D5" s="5">
        <v>18643</v>
      </c>
      <c r="E5" s="5">
        <v>17778</v>
      </c>
      <c r="F5" s="5">
        <v>6884</v>
      </c>
      <c r="G5" s="5">
        <v>17874</v>
      </c>
      <c r="H5" s="5"/>
      <c r="I5" s="5"/>
      <c r="J5" s="5"/>
    </row>
    <row r="6" spans="1:11" x14ac:dyDescent="0.25">
      <c r="A6" s="4" t="s">
        <v>68</v>
      </c>
      <c r="C6" s="7">
        <v>7.4999999999999997E-3</v>
      </c>
      <c r="D6" s="7">
        <v>1.4999999999999999E-2</v>
      </c>
      <c r="E6" s="7">
        <v>1.4999999999999999E-2</v>
      </c>
      <c r="F6" s="7">
        <v>-0.02</v>
      </c>
      <c r="G6" s="7">
        <v>3.4694469519536142E-18</v>
      </c>
      <c r="H6" s="7"/>
      <c r="I6" s="7"/>
      <c r="J6" s="7"/>
    </row>
    <row r="7" spans="1:11" x14ac:dyDescent="0.25">
      <c r="A7" s="4" t="s">
        <v>69</v>
      </c>
      <c r="C7" s="7">
        <v>0.1170943118150909</v>
      </c>
      <c r="D7" s="7">
        <v>1.4094311815090891E-2</v>
      </c>
      <c r="E7" s="7">
        <v>3.909431181509089E-2</v>
      </c>
      <c r="F7" s="7">
        <v>1.2094311815090891E-2</v>
      </c>
      <c r="G7" s="7">
        <v>3.4094311815090893E-2</v>
      </c>
      <c r="H7" s="7"/>
      <c r="I7" s="7"/>
      <c r="J7" s="7"/>
    </row>
    <row r="8" spans="1:11" x14ac:dyDescent="0.25">
      <c r="A8" s="4" t="s">
        <v>70</v>
      </c>
      <c r="C8" s="15">
        <v>0.152</v>
      </c>
      <c r="D8" s="15">
        <v>0.04</v>
      </c>
      <c r="E8" s="15">
        <v>6.5000000000000002E-2</v>
      </c>
      <c r="F8" s="15">
        <v>5.5E-2</v>
      </c>
      <c r="G8" s="15">
        <v>5.8000000000000003E-2</v>
      </c>
      <c r="H8" s="15"/>
      <c r="I8" s="15"/>
      <c r="J8" s="15"/>
    </row>
    <row r="9" spans="1:11" x14ac:dyDescent="0.25">
      <c r="A9" s="4" t="s">
        <v>71</v>
      </c>
      <c r="C9" s="7">
        <v>0.12</v>
      </c>
      <c r="D9" s="7">
        <v>3.6094311815090888E-2</v>
      </c>
      <c r="E9" s="7">
        <v>6.0999999999999992E-2</v>
      </c>
      <c r="F9" s="7">
        <v>3.5000000000000003E-2</v>
      </c>
      <c r="G9" s="7">
        <v>4.4999999999999998E-2</v>
      </c>
      <c r="H9" s="7"/>
      <c r="I9" s="7"/>
      <c r="J9" s="7"/>
    </row>
    <row r="10" spans="1:11" x14ac:dyDescent="0.25">
      <c r="A10" s="4" t="s">
        <v>72</v>
      </c>
      <c r="C10" s="7">
        <v>0.1008</v>
      </c>
      <c r="D10" s="7">
        <v>1.6E-2</v>
      </c>
      <c r="E10" s="7">
        <v>0.09</v>
      </c>
      <c r="F10" s="7">
        <v>5.6800000000000003E-2</v>
      </c>
      <c r="G10" s="7">
        <v>6.7000000000000004E-2</v>
      </c>
      <c r="H10" s="7"/>
      <c r="I10" s="7"/>
      <c r="J10" s="7"/>
    </row>
    <row r="11" spans="1:11" x14ac:dyDescent="0.25">
      <c r="A11" s="4" t="s">
        <v>73</v>
      </c>
      <c r="C11" s="7">
        <v>7.4499999999999997E-2</v>
      </c>
      <c r="D11" s="7">
        <v>1.7999999999999999E-2</v>
      </c>
      <c r="E11" s="7">
        <v>6.6799999999999998E-2</v>
      </c>
      <c r="F11" s="7">
        <v>4.1700000000000001E-2</v>
      </c>
      <c r="G11" s="7">
        <v>3.85E-2</v>
      </c>
      <c r="H11" s="7"/>
      <c r="I11" s="7"/>
      <c r="J11" s="7"/>
    </row>
    <row r="12" spans="1:11" x14ac:dyDescent="0.25">
      <c r="A12" s="4" t="s">
        <v>74</v>
      </c>
      <c r="C12" s="7">
        <v>2.6200000000000001E-2</v>
      </c>
      <c r="D12" s="7">
        <v>5.0000000000000001E-3</v>
      </c>
      <c r="E12" s="7">
        <v>2.3199999999999998E-2</v>
      </c>
      <c r="F12" s="7">
        <v>1.4999999999999999E-2</v>
      </c>
      <c r="G12" s="7">
        <v>2.8400000000000002E-2</v>
      </c>
      <c r="H12" s="7"/>
      <c r="I12" s="7"/>
      <c r="J12" s="7"/>
    </row>
    <row r="13" spans="1:11" x14ac:dyDescent="0.25">
      <c r="A13" s="4" t="s">
        <v>75</v>
      </c>
      <c r="C13" s="7">
        <v>1.902357795377272E-2</v>
      </c>
      <c r="D13" s="7">
        <v>1.4023577953772719E-2</v>
      </c>
      <c r="E13" s="7">
        <v>1.902357795377272E-2</v>
      </c>
      <c r="F13" s="7">
        <v>1.2023577953772719E-2</v>
      </c>
      <c r="G13" s="7">
        <v>9.0235779537727219E-3</v>
      </c>
      <c r="H13" s="7"/>
      <c r="I13" s="7"/>
      <c r="J13" s="7"/>
    </row>
    <row r="14" spans="1:11" x14ac:dyDescent="0.25">
      <c r="A14" s="4" t="s">
        <v>76</v>
      </c>
      <c r="C14" s="9">
        <v>1.0209999999999999</v>
      </c>
      <c r="D14" s="9">
        <v>1.0209999999999999</v>
      </c>
      <c r="E14" s="9">
        <v>1.128473684210527</v>
      </c>
      <c r="F14" s="9">
        <v>1.0209999999999999</v>
      </c>
      <c r="G14" s="9">
        <v>1.0209999999999999</v>
      </c>
      <c r="H14" s="9"/>
      <c r="I14" s="9"/>
      <c r="J14" s="9"/>
    </row>
    <row r="15" spans="1:11" x14ac:dyDescent="0.25">
      <c r="A15" s="4" t="s">
        <v>77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/>
      <c r="I15" s="7"/>
      <c r="J15" s="7"/>
    </row>
    <row r="16" spans="1:11" x14ac:dyDescent="0.25">
      <c r="A16" s="4" t="s">
        <v>78</v>
      </c>
      <c r="C16" s="11">
        <f>MAX((MAX(Inputs!B18+((1-0.33)*C14*(1+(1-Inputs!B22)*Inputs!B21)+0.33)*Inputs!B19+IF(ISBLANK(C17),Inputs!B24,C17)+Inputs!B25+Inputs!B39,MIN(Inputs!B27,0.08)+0.025))*Inputs!B29+Inputs!B28*Inputs!B30,C15)</f>
        <v>7.143588269878226E-2</v>
      </c>
      <c r="D16" s="11">
        <f>MAX((MAX(Inputs!B18+((1-0.33)*D14*(1+(1-Inputs!B22)*Inputs!B21)+0.33)*Inputs!B19+IF(ISBLANK(D17),Inputs!B24,D17)+Inputs!B25+Inputs!B39,MIN(Inputs!B27,0.08)+0.025))*Inputs!B29+Inputs!B28*Inputs!B30,D15)</f>
        <v>7.143588269878226E-2</v>
      </c>
      <c r="E16" s="11">
        <f>MAX((MAX(Inputs!B18+((1-0.33)*E14*(1+(1-Inputs!B22)*Inputs!B21)+0.33)*Inputs!B19+IF(ISBLANK(E17),Inputs!B24,E17)+Inputs!B25+Inputs!B39,MIN(Inputs!B27,0.08)+0.025))*Inputs!B29+Inputs!B28*Inputs!B30,E15)</f>
        <v>7.4970016361472436E-2</v>
      </c>
      <c r="F16" s="11">
        <f>MAX((MAX(Inputs!B18+((1-0.33)*F14*(1+(1-Inputs!B22)*Inputs!B21)+0.33)*Inputs!B19+IF(ISBLANK(F17),Inputs!B24,F17)+Inputs!B25+Inputs!B39,MIN(Inputs!B27,0.08)+0.025))*Inputs!B29+Inputs!B28*Inputs!B30,F15)</f>
        <v>7.143588269878226E-2</v>
      </c>
      <c r="G16" s="11">
        <f>MAX((MAX(Inputs!B18+((1-0.33)*G14*(1+(1-Inputs!B22)*Inputs!B21)+0.33)*Inputs!B19+IF(ISBLANK(G17),Inputs!B24,G17)+Inputs!B25+Inputs!B39,MIN(Inputs!B27,0.08)+0.025))*Inputs!B29+Inputs!B28*Inputs!B30,G15)</f>
        <v>7.143588269878226E-2</v>
      </c>
      <c r="H16" s="11">
        <f>MAX((MAX(Inputs!B18+((1-0.33)*H14*(1+(1-Inputs!B22)*Inputs!B21)+0.33)*Inputs!B19+IF(ISBLANK(H17),Inputs!B24,H17)+Inputs!B25+Inputs!B39,MIN(Inputs!B27,0.08)+0.025))*Inputs!B29+Inputs!B28*Inputs!B30,H15)</f>
        <v>4.7490161290322588E-2</v>
      </c>
      <c r="I16" s="11">
        <f>MAX((MAX(Inputs!B18+((1-0.33)*I14*(1+(1-Inputs!B22)*Inputs!B21)+0.33)*Inputs!B19+IF(ISBLANK(I17),Inputs!B24,I17)+Inputs!B25+Inputs!B39,MIN(Inputs!B27,0.08)+0.025))*Inputs!B29+Inputs!B28*Inputs!B30,I15)</f>
        <v>4.7490161290322588E-2</v>
      </c>
      <c r="J16" s="11">
        <f>MAX((MAX(Inputs!B18+((1-0.33)*J14*(1+(1-Inputs!B22)*Inputs!B21)+0.33)*Inputs!B19+IF(ISBLANK(J17),Inputs!B24,J17)+Inputs!B25+Inputs!B39,MIN(Inputs!B27,0.08)+0.025))*Inputs!B29+Inputs!B28*Inputs!B30,J15)</f>
        <v>4.7490161290322588E-2</v>
      </c>
    </row>
    <row r="17" spans="1:10" x14ac:dyDescent="0.25">
      <c r="A17" s="16" t="s">
        <v>79</v>
      </c>
      <c r="C17" s="7"/>
      <c r="D17" s="7"/>
      <c r="E17" s="7"/>
      <c r="F17" s="7"/>
      <c r="G17" s="7"/>
      <c r="H17" s="7"/>
      <c r="I17" s="7"/>
      <c r="J17" s="7"/>
    </row>
    <row r="18" spans="1:10" ht="39.950000000000003" customHeight="1" x14ac:dyDescent="0.25">
      <c r="A18" s="17" t="s">
        <v>80</v>
      </c>
      <c r="C18" s="18" t="s">
        <v>194</v>
      </c>
      <c r="D18" s="18" t="s">
        <v>195</v>
      </c>
      <c r="E18" s="18" t="s">
        <v>196</v>
      </c>
      <c r="F18" s="18" t="s">
        <v>197</v>
      </c>
      <c r="G18" s="18" t="s">
        <v>198</v>
      </c>
      <c r="H18" s="18"/>
      <c r="I18" s="18"/>
      <c r="J18" s="18"/>
    </row>
    <row r="19" spans="1:10" ht="39.950000000000003" customHeight="1" x14ac:dyDescent="0.25">
      <c r="A19" s="17" t="s">
        <v>86</v>
      </c>
      <c r="C19" s="18" t="s">
        <v>199</v>
      </c>
      <c r="D19" s="18" t="s">
        <v>200</v>
      </c>
      <c r="E19" s="18" t="s">
        <v>201</v>
      </c>
      <c r="F19" s="18" t="s">
        <v>202</v>
      </c>
      <c r="G19" s="18" t="s">
        <v>203</v>
      </c>
      <c r="H19" s="18"/>
      <c r="I19" s="18"/>
      <c r="J19" s="18"/>
    </row>
    <row r="21" spans="1:10" x14ac:dyDescent="0.25">
      <c r="A21" s="4" t="s">
        <v>92</v>
      </c>
      <c r="C21" s="6">
        <f t="shared" ref="C21:J21" si="0">C5*(1+C6)^1</f>
        <v>24613.225000000002</v>
      </c>
      <c r="D21" s="6">
        <f t="shared" si="0"/>
        <v>18922.644999999997</v>
      </c>
      <c r="E21" s="6">
        <f t="shared" si="0"/>
        <v>18044.669999999998</v>
      </c>
      <c r="F21" s="6">
        <f t="shared" si="0"/>
        <v>6746.32</v>
      </c>
      <c r="G21" s="6">
        <f t="shared" si="0"/>
        <v>17874</v>
      </c>
      <c r="H21" s="6">
        <f t="shared" si="0"/>
        <v>0</v>
      </c>
      <c r="I21" s="6">
        <f t="shared" si="0"/>
        <v>0</v>
      </c>
      <c r="J21" s="6">
        <f t="shared" si="0"/>
        <v>0</v>
      </c>
    </row>
    <row r="22" spans="1:10" x14ac:dyDescent="0.25">
      <c r="A22" s="4" t="s">
        <v>93</v>
      </c>
      <c r="C22" s="6">
        <f t="shared" ref="C22:J22" si="1">C5*(1+C6)^2</f>
        <v>24797.824187500006</v>
      </c>
      <c r="D22" s="6">
        <f t="shared" si="1"/>
        <v>19206.484674999996</v>
      </c>
      <c r="E22" s="6">
        <f t="shared" si="1"/>
        <v>18315.340049999995</v>
      </c>
      <c r="F22" s="6">
        <f t="shared" si="1"/>
        <v>6611.3935999999994</v>
      </c>
      <c r="G22" s="6">
        <f t="shared" si="1"/>
        <v>17874</v>
      </c>
      <c r="H22" s="6">
        <f t="shared" si="1"/>
        <v>0</v>
      </c>
      <c r="I22" s="6">
        <f t="shared" si="1"/>
        <v>0</v>
      </c>
      <c r="J22" s="6">
        <f t="shared" si="1"/>
        <v>0</v>
      </c>
    </row>
    <row r="23" spans="1:10" x14ac:dyDescent="0.25">
      <c r="A23" s="4" t="s">
        <v>94</v>
      </c>
      <c r="C23" s="6">
        <f t="shared" ref="C23:J23" si="2">C5*(1+C6)^3</f>
        <v>24983.807868906257</v>
      </c>
      <c r="D23" s="6">
        <f t="shared" si="2"/>
        <v>19494.581945124992</v>
      </c>
      <c r="E23" s="6">
        <f t="shared" si="2"/>
        <v>18590.070150749994</v>
      </c>
      <c r="F23" s="6">
        <f t="shared" si="2"/>
        <v>6479.165727999999</v>
      </c>
      <c r="G23" s="6">
        <f t="shared" si="2"/>
        <v>17874</v>
      </c>
      <c r="H23" s="6">
        <f t="shared" si="2"/>
        <v>0</v>
      </c>
      <c r="I23" s="6">
        <f t="shared" si="2"/>
        <v>0</v>
      </c>
      <c r="J23" s="6">
        <f t="shared" si="2"/>
        <v>0</v>
      </c>
    </row>
    <row r="24" spans="1:10" x14ac:dyDescent="0.25">
      <c r="A24" s="4" t="s">
        <v>95</v>
      </c>
      <c r="C24" s="6">
        <f t="shared" ref="C24:J24" si="3">C5*(1+C6)^4</f>
        <v>25171.186427923058</v>
      </c>
      <c r="D24" s="6">
        <f t="shared" si="3"/>
        <v>19787.000674301864</v>
      </c>
      <c r="E24" s="6">
        <f t="shared" si="3"/>
        <v>18868.921203011239</v>
      </c>
      <c r="F24" s="6">
        <f t="shared" si="3"/>
        <v>6349.5824134399991</v>
      </c>
      <c r="G24" s="6">
        <f t="shared" si="3"/>
        <v>17874</v>
      </c>
      <c r="H24" s="6">
        <f t="shared" si="3"/>
        <v>0</v>
      </c>
      <c r="I24" s="6">
        <f t="shared" si="3"/>
        <v>0</v>
      </c>
      <c r="J24" s="6">
        <f t="shared" si="3"/>
        <v>0</v>
      </c>
    </row>
    <row r="25" spans="1:10" x14ac:dyDescent="0.25">
      <c r="A25" s="4" t="s">
        <v>96</v>
      </c>
      <c r="C25" s="6">
        <f t="shared" ref="C25:J25" si="4">C5*(1+C6)^5</f>
        <v>25359.970326132479</v>
      </c>
      <c r="D25" s="6">
        <f t="shared" si="4"/>
        <v>20083.805684416391</v>
      </c>
      <c r="E25" s="6">
        <f t="shared" si="4"/>
        <v>19151.955021056405</v>
      </c>
      <c r="F25" s="6">
        <f t="shared" si="4"/>
        <v>6222.5907651711987</v>
      </c>
      <c r="G25" s="6">
        <f t="shared" si="4"/>
        <v>17874</v>
      </c>
      <c r="H25" s="6">
        <f t="shared" si="4"/>
        <v>0</v>
      </c>
      <c r="I25" s="6">
        <f t="shared" si="4"/>
        <v>0</v>
      </c>
      <c r="J25" s="6">
        <f t="shared" si="4"/>
        <v>0</v>
      </c>
    </row>
    <row r="26" spans="1:10" x14ac:dyDescent="0.25">
      <c r="A26" s="4" t="s">
        <v>97</v>
      </c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4" t="s">
        <v>98</v>
      </c>
      <c r="C27" s="11">
        <f t="shared" ref="C27:J27" si="5">IF(ISBLANK(C9),C7,C7+(C9-C7)*(0)/4)</f>
        <v>0.1170943118150909</v>
      </c>
      <c r="D27" s="11">
        <f t="shared" si="5"/>
        <v>1.4094311815090891E-2</v>
      </c>
      <c r="E27" s="11">
        <f t="shared" si="5"/>
        <v>3.909431181509089E-2</v>
      </c>
      <c r="F27" s="11">
        <f t="shared" si="5"/>
        <v>1.2094311815090891E-2</v>
      </c>
      <c r="G27" s="11">
        <f t="shared" si="5"/>
        <v>3.4094311815090893E-2</v>
      </c>
      <c r="H27" s="11">
        <f t="shared" si="5"/>
        <v>0</v>
      </c>
      <c r="I27" s="11">
        <f t="shared" si="5"/>
        <v>0</v>
      </c>
      <c r="J27" s="11">
        <f t="shared" si="5"/>
        <v>0</v>
      </c>
    </row>
    <row r="28" spans="1:10" x14ac:dyDescent="0.25">
      <c r="A28" s="4" t="s">
        <v>99</v>
      </c>
      <c r="C28" s="11">
        <f t="shared" ref="C28:J28" si="6">IF(ISBLANK(C9),C7,C7+(C9-C7)*(1)/4)</f>
        <v>0.11782073386131818</v>
      </c>
      <c r="D28" s="11">
        <f t="shared" si="6"/>
        <v>1.959431181509089E-2</v>
      </c>
      <c r="E28" s="11">
        <f t="shared" si="6"/>
        <v>4.4570733861318164E-2</v>
      </c>
      <c r="F28" s="11">
        <f t="shared" si="6"/>
        <v>1.7820733861318168E-2</v>
      </c>
      <c r="G28" s="11">
        <f t="shared" si="6"/>
        <v>3.6820733861318171E-2</v>
      </c>
      <c r="H28" s="11">
        <f t="shared" si="6"/>
        <v>0</v>
      </c>
      <c r="I28" s="11">
        <f t="shared" si="6"/>
        <v>0</v>
      </c>
      <c r="J28" s="11">
        <f t="shared" si="6"/>
        <v>0</v>
      </c>
    </row>
    <row r="29" spans="1:10" x14ac:dyDescent="0.25">
      <c r="A29" s="4" t="s">
        <v>100</v>
      </c>
      <c r="C29" s="11">
        <f t="shared" ref="C29:J29" si="7">IF(ISBLANK(C9),C7,C7+(C9-C7)*(2)/4)</f>
        <v>0.11854715590754544</v>
      </c>
      <c r="D29" s="11">
        <f t="shared" si="7"/>
        <v>2.5094311815090892E-2</v>
      </c>
      <c r="E29" s="11">
        <f t="shared" si="7"/>
        <v>5.0047155907545438E-2</v>
      </c>
      <c r="F29" s="11">
        <f t="shared" si="7"/>
        <v>2.3547155907545449E-2</v>
      </c>
      <c r="G29" s="11">
        <f t="shared" si="7"/>
        <v>3.9547155907545442E-2</v>
      </c>
      <c r="H29" s="11">
        <f t="shared" si="7"/>
        <v>0</v>
      </c>
      <c r="I29" s="11">
        <f t="shared" si="7"/>
        <v>0</v>
      </c>
      <c r="J29" s="11">
        <f t="shared" si="7"/>
        <v>0</v>
      </c>
    </row>
    <row r="30" spans="1:10" x14ac:dyDescent="0.25">
      <c r="A30" s="4" t="s">
        <v>101</v>
      </c>
      <c r="C30" s="11">
        <f t="shared" ref="C30:J30" si="8">IF(ISBLANK(C9),C7,C7+(C9-C7)*(3)/4)</f>
        <v>0.11927357795377272</v>
      </c>
      <c r="D30" s="11">
        <f t="shared" si="8"/>
        <v>3.059431181509089E-2</v>
      </c>
      <c r="E30" s="11">
        <f t="shared" si="8"/>
        <v>5.5523577953772718E-2</v>
      </c>
      <c r="F30" s="11">
        <f t="shared" si="8"/>
        <v>2.9273577953772726E-2</v>
      </c>
      <c r="G30" s="11">
        <f t="shared" si="8"/>
        <v>4.227357795377272E-2</v>
      </c>
      <c r="H30" s="11">
        <f t="shared" si="8"/>
        <v>0</v>
      </c>
      <c r="I30" s="11">
        <f t="shared" si="8"/>
        <v>0</v>
      </c>
      <c r="J30" s="11">
        <f t="shared" si="8"/>
        <v>0</v>
      </c>
    </row>
    <row r="31" spans="1:10" x14ac:dyDescent="0.25">
      <c r="A31" s="4" t="s">
        <v>102</v>
      </c>
      <c r="C31" s="11">
        <f t="shared" ref="C31:J31" si="9">IF(ISBLANK(C9),C7,C7+(C9-C7)*(4)/4)</f>
        <v>0.12</v>
      </c>
      <c r="D31" s="11">
        <f t="shared" si="9"/>
        <v>3.6094311815090888E-2</v>
      </c>
      <c r="E31" s="11">
        <f t="shared" si="9"/>
        <v>6.0999999999999992E-2</v>
      </c>
      <c r="F31" s="11">
        <f t="shared" si="9"/>
        <v>3.5000000000000003E-2</v>
      </c>
      <c r="G31" s="11">
        <f t="shared" si="9"/>
        <v>4.4999999999999998E-2</v>
      </c>
      <c r="H31" s="11">
        <f t="shared" si="9"/>
        <v>0</v>
      </c>
      <c r="I31" s="11">
        <f t="shared" si="9"/>
        <v>0</v>
      </c>
      <c r="J31" s="11">
        <f t="shared" si="9"/>
        <v>0</v>
      </c>
    </row>
    <row r="33" spans="1:10" x14ac:dyDescent="0.25">
      <c r="A33" s="4" t="s">
        <v>103</v>
      </c>
      <c r="C33" s="6">
        <f t="shared" ref="C33:J37" si="10">C21*C27</f>
        <v>2882.0686429249909</v>
      </c>
      <c r="D33" s="6">
        <f t="shared" si="10"/>
        <v>266.70165899627051</v>
      </c>
      <c r="E33" s="6">
        <f t="shared" si="10"/>
        <v>705.44395558041606</v>
      </c>
      <c r="F33" s="6">
        <f t="shared" si="10"/>
        <v>81.592097684383972</v>
      </c>
      <c r="G33" s="6">
        <f t="shared" si="10"/>
        <v>609.4017293829346</v>
      </c>
      <c r="H33" s="6">
        <f t="shared" si="10"/>
        <v>0</v>
      </c>
      <c r="I33" s="6">
        <f t="shared" si="10"/>
        <v>0</v>
      </c>
      <c r="J33" s="6">
        <f t="shared" si="10"/>
        <v>0</v>
      </c>
    </row>
    <row r="34" spans="1:10" x14ac:dyDescent="0.25">
      <c r="A34" s="4" t="s">
        <v>104</v>
      </c>
      <c r="C34" s="6">
        <f t="shared" si="10"/>
        <v>2921.6978439351969</v>
      </c>
      <c r="D34" s="6">
        <f t="shared" si="10"/>
        <v>376.33784959371457</v>
      </c>
      <c r="E34" s="6">
        <f t="shared" si="10"/>
        <v>816.32814694809156</v>
      </c>
      <c r="F34" s="6">
        <f t="shared" si="10"/>
        <v>117.81988579802221</v>
      </c>
      <c r="G34" s="6">
        <f t="shared" si="10"/>
        <v>658.13379703720102</v>
      </c>
      <c r="H34" s="6">
        <f t="shared" si="10"/>
        <v>0</v>
      </c>
      <c r="I34" s="6">
        <f t="shared" si="10"/>
        <v>0</v>
      </c>
      <c r="J34" s="6">
        <f t="shared" si="10"/>
        <v>0</v>
      </c>
    </row>
    <row r="35" spans="1:10" x14ac:dyDescent="0.25">
      <c r="A35" s="4" t="s">
        <v>105</v>
      </c>
      <c r="C35" s="6">
        <f t="shared" si="10"/>
        <v>2961.7593665993909</v>
      </c>
      <c r="D35" s="6">
        <f t="shared" si="10"/>
        <v>489.20311803580768</v>
      </c>
      <c r="E35" s="6">
        <f t="shared" si="10"/>
        <v>930.38013916679165</v>
      </c>
      <c r="F35" s="6">
        <f t="shared" si="10"/>
        <v>152.56592554804118</v>
      </c>
      <c r="G35" s="6">
        <f t="shared" si="10"/>
        <v>706.86586469146721</v>
      </c>
      <c r="H35" s="6">
        <f t="shared" si="10"/>
        <v>0</v>
      </c>
      <c r="I35" s="6">
        <f t="shared" si="10"/>
        <v>0</v>
      </c>
      <c r="J35" s="6">
        <f t="shared" si="10"/>
        <v>0</v>
      </c>
    </row>
    <row r="36" spans="1:10" x14ac:dyDescent="0.25">
      <c r="A36" s="4" t="s">
        <v>106</v>
      </c>
      <c r="C36" s="6">
        <f t="shared" si="10"/>
        <v>3002.2574665998268</v>
      </c>
      <c r="D36" s="6">
        <f t="shared" si="10"/>
        <v>605.36966851500495</v>
      </c>
      <c r="E36" s="6">
        <f t="shared" si="10"/>
        <v>1047.6700173189895</v>
      </c>
      <c r="F36" s="6">
        <f t="shared" si="10"/>
        <v>185.87499575374017</v>
      </c>
      <c r="G36" s="6">
        <f t="shared" si="10"/>
        <v>755.59793234573362</v>
      </c>
      <c r="H36" s="6">
        <f t="shared" si="10"/>
        <v>0</v>
      </c>
      <c r="I36" s="6">
        <f t="shared" si="10"/>
        <v>0</v>
      </c>
      <c r="J36" s="6">
        <f t="shared" si="10"/>
        <v>0</v>
      </c>
    </row>
    <row r="37" spans="1:10" x14ac:dyDescent="0.25">
      <c r="A37" s="4" t="s">
        <v>107</v>
      </c>
      <c r="C37" s="6">
        <f t="shared" si="10"/>
        <v>3043.1964391358974</v>
      </c>
      <c r="D37" s="6">
        <f t="shared" si="10"/>
        <v>724.91114480702004</v>
      </c>
      <c r="E37" s="6">
        <f t="shared" si="10"/>
        <v>1168.2692562844406</v>
      </c>
      <c r="F37" s="6">
        <f t="shared" si="10"/>
        <v>217.79067678099199</v>
      </c>
      <c r="G37" s="6">
        <f t="shared" si="10"/>
        <v>804.32999999999993</v>
      </c>
      <c r="H37" s="6">
        <f t="shared" si="10"/>
        <v>0</v>
      </c>
      <c r="I37" s="6">
        <f t="shared" si="10"/>
        <v>0</v>
      </c>
      <c r="J37" s="6">
        <f t="shared" si="10"/>
        <v>0</v>
      </c>
    </row>
    <row r="39" spans="1:10" x14ac:dyDescent="0.25">
      <c r="A39" s="4" t="s">
        <v>108</v>
      </c>
      <c r="C39" s="6">
        <f>C33*(1-Inputs!B22)</f>
        <v>2037.6225305479688</v>
      </c>
      <c r="D39" s="6">
        <f>D33*(1-Inputs!B22)</f>
        <v>188.55807291036328</v>
      </c>
      <c r="E39" s="6">
        <f>E33*(1-Inputs!B22)</f>
        <v>498.7488765953542</v>
      </c>
      <c r="F39" s="6">
        <f>F33*(1-Inputs!B22)</f>
        <v>57.685613062859474</v>
      </c>
      <c r="G39" s="6">
        <f>G33*(1-Inputs!B22)</f>
        <v>430.84702267373478</v>
      </c>
      <c r="H39" s="6">
        <f>H33*(1-Inputs!B22)</f>
        <v>0</v>
      </c>
      <c r="I39" s="6">
        <f>I33*(1-Inputs!B22)</f>
        <v>0</v>
      </c>
      <c r="J39" s="6">
        <f>J33*(1-Inputs!B22)</f>
        <v>0</v>
      </c>
    </row>
    <row r="40" spans="1:10" x14ac:dyDescent="0.25">
      <c r="A40" s="4" t="s">
        <v>109</v>
      </c>
      <c r="C40" s="6">
        <f>C34*(1-Inputs!B22)</f>
        <v>2065.6403756621844</v>
      </c>
      <c r="D40" s="6">
        <f>D34*(1-Inputs!B22)</f>
        <v>266.07085966275622</v>
      </c>
      <c r="E40" s="6">
        <f>E34*(1-Inputs!B22)</f>
        <v>577.14399989230083</v>
      </c>
      <c r="F40" s="6">
        <f>F34*(1-Inputs!B22)</f>
        <v>83.298659259201713</v>
      </c>
      <c r="G40" s="6">
        <f>G34*(1-Inputs!B22)</f>
        <v>465.30059450530115</v>
      </c>
      <c r="H40" s="6">
        <f>H34*(1-Inputs!B22)</f>
        <v>0</v>
      </c>
      <c r="I40" s="6">
        <f>I34*(1-Inputs!B22)</f>
        <v>0</v>
      </c>
      <c r="J40" s="6">
        <f>J34*(1-Inputs!B22)</f>
        <v>0</v>
      </c>
    </row>
    <row r="41" spans="1:10" x14ac:dyDescent="0.25">
      <c r="A41" s="4" t="s">
        <v>110</v>
      </c>
      <c r="C41" s="6">
        <f>C35*(1-Inputs!B22)</f>
        <v>2093.9638721857696</v>
      </c>
      <c r="D41" s="6">
        <f>D35*(1-Inputs!B22)</f>
        <v>345.86660445131605</v>
      </c>
      <c r="E41" s="6">
        <f>E35*(1-Inputs!B22)</f>
        <v>657.77875839092178</v>
      </c>
      <c r="F41" s="6">
        <f>F35*(1-Inputs!B22)</f>
        <v>107.86410936246513</v>
      </c>
      <c r="G41" s="6">
        <f>G35*(1-Inputs!B22)</f>
        <v>499.75416633686734</v>
      </c>
      <c r="H41" s="6">
        <f>H35*(1-Inputs!B22)</f>
        <v>0</v>
      </c>
      <c r="I41" s="6">
        <f>I35*(1-Inputs!B22)</f>
        <v>0</v>
      </c>
      <c r="J41" s="6">
        <f>J35*(1-Inputs!B22)</f>
        <v>0</v>
      </c>
    </row>
    <row r="42" spans="1:10" x14ac:dyDescent="0.25">
      <c r="A42" s="4" t="s">
        <v>111</v>
      </c>
      <c r="C42" s="6">
        <f>C36*(1-Inputs!B22)</f>
        <v>2122.5960288860779</v>
      </c>
      <c r="D42" s="6">
        <f>D36*(1-Inputs!B22)</f>
        <v>427.99635564010856</v>
      </c>
      <c r="E42" s="6">
        <f>E36*(1-Inputs!B22)</f>
        <v>740.70270224452565</v>
      </c>
      <c r="F42" s="6">
        <f>F36*(1-Inputs!B22)</f>
        <v>131.41362199789432</v>
      </c>
      <c r="G42" s="6">
        <f>G36*(1-Inputs!B22)</f>
        <v>534.20773816843371</v>
      </c>
      <c r="H42" s="6">
        <f>H36*(1-Inputs!B22)</f>
        <v>0</v>
      </c>
      <c r="I42" s="6">
        <f>I36*(1-Inputs!B22)</f>
        <v>0</v>
      </c>
      <c r="J42" s="6">
        <f>J36*(1-Inputs!B22)</f>
        <v>0</v>
      </c>
    </row>
    <row r="43" spans="1:10" x14ac:dyDescent="0.25">
      <c r="A43" s="4" t="s">
        <v>112</v>
      </c>
      <c r="C43" s="6">
        <f>C37*(1-Inputs!B22)</f>
        <v>2151.5398824690797</v>
      </c>
      <c r="D43" s="6">
        <f>D37*(1-Inputs!B22)</f>
        <v>512.51217937856325</v>
      </c>
      <c r="E43" s="6">
        <f>E37*(1-Inputs!B22)</f>
        <v>825.96636419309959</v>
      </c>
      <c r="F43" s="6">
        <f>F37*(1-Inputs!B22)</f>
        <v>153.97800848416136</v>
      </c>
      <c r="G43" s="6">
        <f>G37*(1-Inputs!B22)</f>
        <v>568.66130999999996</v>
      </c>
      <c r="H43" s="6">
        <f>H37*(1-Inputs!B22)</f>
        <v>0</v>
      </c>
      <c r="I43" s="6">
        <f>I37*(1-Inputs!B22)</f>
        <v>0</v>
      </c>
      <c r="J43" s="6">
        <f>J37*(1-Inputs!B22)</f>
        <v>0</v>
      </c>
    </row>
    <row r="45" spans="1:10" x14ac:dyDescent="0.25">
      <c r="A45" s="4" t="s">
        <v>113</v>
      </c>
      <c r="C45" s="6">
        <f t="shared" ref="C45:J45" si="11">C21*IF(ISBLANK(C26),C12,C12+(C26-C12)*(0)/4)</f>
        <v>644.8664950000001</v>
      </c>
      <c r="D45" s="6">
        <f t="shared" si="11"/>
        <v>94.613224999999986</v>
      </c>
      <c r="E45" s="6">
        <f t="shared" si="11"/>
        <v>418.63634399999995</v>
      </c>
      <c r="F45" s="6">
        <f t="shared" si="11"/>
        <v>101.19479999999999</v>
      </c>
      <c r="G45" s="6">
        <f t="shared" si="11"/>
        <v>507.6216</v>
      </c>
      <c r="H45" s="6">
        <f t="shared" si="11"/>
        <v>0</v>
      </c>
      <c r="I45" s="6">
        <f t="shared" si="11"/>
        <v>0</v>
      </c>
      <c r="J45" s="6">
        <f t="shared" si="11"/>
        <v>0</v>
      </c>
    </row>
    <row r="46" spans="1:10" x14ac:dyDescent="0.25">
      <c r="A46" s="4" t="s">
        <v>114</v>
      </c>
      <c r="C46" s="6">
        <f t="shared" ref="C46:J46" si="12">C22*IF(ISBLANK(C26),C12,C12+(C26-C12)*(1)/4)</f>
        <v>649.70299371250019</v>
      </c>
      <c r="D46" s="6">
        <f t="shared" si="12"/>
        <v>96.032423374999979</v>
      </c>
      <c r="E46" s="6">
        <f t="shared" si="12"/>
        <v>424.91588915999984</v>
      </c>
      <c r="F46" s="6">
        <f t="shared" si="12"/>
        <v>99.170903999999993</v>
      </c>
      <c r="G46" s="6">
        <f t="shared" si="12"/>
        <v>507.6216</v>
      </c>
      <c r="H46" s="6">
        <f t="shared" si="12"/>
        <v>0</v>
      </c>
      <c r="I46" s="6">
        <f t="shared" si="12"/>
        <v>0</v>
      </c>
      <c r="J46" s="6">
        <f t="shared" si="12"/>
        <v>0</v>
      </c>
    </row>
    <row r="47" spans="1:10" x14ac:dyDescent="0.25">
      <c r="A47" s="4" t="s">
        <v>115</v>
      </c>
      <c r="C47" s="6">
        <f t="shared" ref="C47:J47" si="13">C23*IF(ISBLANK(C26),C12,C12+(C26-C12)*(2)/4)</f>
        <v>654.57576616534391</v>
      </c>
      <c r="D47" s="6">
        <f t="shared" si="13"/>
        <v>97.472909725624959</v>
      </c>
      <c r="E47" s="6">
        <f t="shared" si="13"/>
        <v>431.28962749739986</v>
      </c>
      <c r="F47" s="6">
        <f t="shared" si="13"/>
        <v>97.187485919999986</v>
      </c>
      <c r="G47" s="6">
        <f t="shared" si="13"/>
        <v>507.6216</v>
      </c>
      <c r="H47" s="6">
        <f t="shared" si="13"/>
        <v>0</v>
      </c>
      <c r="I47" s="6">
        <f t="shared" si="13"/>
        <v>0</v>
      </c>
      <c r="J47" s="6">
        <f t="shared" si="13"/>
        <v>0</v>
      </c>
    </row>
    <row r="48" spans="1:10" x14ac:dyDescent="0.25">
      <c r="A48" s="4" t="s">
        <v>116</v>
      </c>
      <c r="C48" s="6">
        <f t="shared" ref="C48:J48" si="14">C24*IF(ISBLANK(C26),C12,C12+(C26-C12)*(3)/4)</f>
        <v>659.48508441158413</v>
      </c>
      <c r="D48" s="6">
        <f t="shared" si="14"/>
        <v>98.935003371509325</v>
      </c>
      <c r="E48" s="6">
        <f t="shared" si="14"/>
        <v>437.75897190986075</v>
      </c>
      <c r="F48" s="6">
        <f t="shared" si="14"/>
        <v>95.243736201599987</v>
      </c>
      <c r="G48" s="6">
        <f t="shared" si="14"/>
        <v>507.6216</v>
      </c>
      <c r="H48" s="6">
        <f t="shared" si="14"/>
        <v>0</v>
      </c>
      <c r="I48" s="6">
        <f t="shared" si="14"/>
        <v>0</v>
      </c>
      <c r="J48" s="6">
        <f t="shared" si="14"/>
        <v>0</v>
      </c>
    </row>
    <row r="49" spans="1:10" x14ac:dyDescent="0.25">
      <c r="A49" s="4" t="s">
        <v>117</v>
      </c>
      <c r="C49" s="6">
        <f t="shared" ref="C49:J49" si="15">C25*IF(ISBLANK(C26),C12,C12+(C26-C12)*(4)/4)</f>
        <v>664.43122254467096</v>
      </c>
      <c r="D49" s="6">
        <f t="shared" si="15"/>
        <v>100.41902842208196</v>
      </c>
      <c r="E49" s="6">
        <f t="shared" si="15"/>
        <v>444.32535648850853</v>
      </c>
      <c r="F49" s="6">
        <f t="shared" si="15"/>
        <v>93.338861477567974</v>
      </c>
      <c r="G49" s="6">
        <f t="shared" si="15"/>
        <v>507.6216</v>
      </c>
      <c r="H49" s="6">
        <f t="shared" si="15"/>
        <v>0</v>
      </c>
      <c r="I49" s="6">
        <f t="shared" si="15"/>
        <v>0</v>
      </c>
      <c r="J49" s="6">
        <f t="shared" si="15"/>
        <v>0</v>
      </c>
    </row>
    <row r="51" spans="1:10" x14ac:dyDescent="0.25">
      <c r="A51" s="4" t="s">
        <v>118</v>
      </c>
      <c r="C51" s="6">
        <f t="shared" ref="C51:J55" si="16">C39-C45</f>
        <v>1392.7560355479686</v>
      </c>
      <c r="D51" s="6">
        <f t="shared" si="16"/>
        <v>93.944847910363293</v>
      </c>
      <c r="E51" s="6">
        <f t="shared" si="16"/>
        <v>80.112532595354253</v>
      </c>
      <c r="F51" s="6">
        <f t="shared" si="16"/>
        <v>-43.509186937140512</v>
      </c>
      <c r="G51" s="6">
        <f t="shared" si="16"/>
        <v>-76.774577326265216</v>
      </c>
      <c r="H51" s="6">
        <f t="shared" si="16"/>
        <v>0</v>
      </c>
      <c r="I51" s="6">
        <f t="shared" si="16"/>
        <v>0</v>
      </c>
      <c r="J51" s="6">
        <f t="shared" si="16"/>
        <v>0</v>
      </c>
    </row>
    <row r="52" spans="1:10" x14ac:dyDescent="0.25">
      <c r="A52" s="4" t="s">
        <v>119</v>
      </c>
      <c r="C52" s="6">
        <f t="shared" si="16"/>
        <v>1415.9373819496841</v>
      </c>
      <c r="D52" s="6">
        <f t="shared" si="16"/>
        <v>170.03843628775624</v>
      </c>
      <c r="E52" s="6">
        <f t="shared" si="16"/>
        <v>152.22811073230099</v>
      </c>
      <c r="F52" s="6">
        <f t="shared" si="16"/>
        <v>-15.87224474079828</v>
      </c>
      <c r="G52" s="6">
        <f t="shared" si="16"/>
        <v>-42.321005494698852</v>
      </c>
      <c r="H52" s="6">
        <f t="shared" si="16"/>
        <v>0</v>
      </c>
      <c r="I52" s="6">
        <f t="shared" si="16"/>
        <v>0</v>
      </c>
      <c r="J52" s="6">
        <f t="shared" si="16"/>
        <v>0</v>
      </c>
    </row>
    <row r="53" spans="1:10" x14ac:dyDescent="0.25">
      <c r="A53" s="4" t="s">
        <v>120</v>
      </c>
      <c r="C53" s="6">
        <f t="shared" si="16"/>
        <v>1439.3881060204258</v>
      </c>
      <c r="D53" s="6">
        <f t="shared" si="16"/>
        <v>248.39369472569109</v>
      </c>
      <c r="E53" s="6">
        <f t="shared" si="16"/>
        <v>226.48913089352192</v>
      </c>
      <c r="F53" s="6">
        <f t="shared" si="16"/>
        <v>10.676623442465143</v>
      </c>
      <c r="G53" s="6">
        <f t="shared" si="16"/>
        <v>-7.8674336631326582</v>
      </c>
      <c r="H53" s="6">
        <f t="shared" si="16"/>
        <v>0</v>
      </c>
      <c r="I53" s="6">
        <f t="shared" si="16"/>
        <v>0</v>
      </c>
      <c r="J53" s="6">
        <f t="shared" si="16"/>
        <v>0</v>
      </c>
    </row>
    <row r="54" spans="1:10" x14ac:dyDescent="0.25">
      <c r="A54" s="4" t="s">
        <v>121</v>
      </c>
      <c r="C54" s="6">
        <f t="shared" si="16"/>
        <v>1463.1109444744939</v>
      </c>
      <c r="D54" s="6">
        <f t="shared" si="16"/>
        <v>329.06135226859925</v>
      </c>
      <c r="E54" s="6">
        <f t="shared" si="16"/>
        <v>302.94373033466491</v>
      </c>
      <c r="F54" s="6">
        <f t="shared" si="16"/>
        <v>36.169885796294338</v>
      </c>
      <c r="G54" s="6">
        <f t="shared" si="16"/>
        <v>26.586138168433706</v>
      </c>
      <c r="H54" s="6">
        <f t="shared" si="16"/>
        <v>0</v>
      </c>
      <c r="I54" s="6">
        <f t="shared" si="16"/>
        <v>0</v>
      </c>
      <c r="J54" s="6">
        <f t="shared" si="16"/>
        <v>0</v>
      </c>
    </row>
    <row r="55" spans="1:10" x14ac:dyDescent="0.25">
      <c r="A55" s="4" t="s">
        <v>122</v>
      </c>
      <c r="C55" s="6">
        <f t="shared" si="16"/>
        <v>1487.1086599244086</v>
      </c>
      <c r="D55" s="6">
        <f t="shared" si="16"/>
        <v>412.09315095648128</v>
      </c>
      <c r="E55" s="6">
        <f t="shared" si="16"/>
        <v>381.64100770459106</v>
      </c>
      <c r="F55" s="6">
        <f t="shared" si="16"/>
        <v>60.63914700659339</v>
      </c>
      <c r="G55" s="6">
        <f t="shared" si="16"/>
        <v>61.039709999999957</v>
      </c>
      <c r="H55" s="6">
        <f t="shared" si="16"/>
        <v>0</v>
      </c>
      <c r="I55" s="6">
        <f t="shared" si="16"/>
        <v>0</v>
      </c>
      <c r="J55" s="6">
        <f t="shared" si="16"/>
        <v>0</v>
      </c>
    </row>
    <row r="57" spans="1:10" x14ac:dyDescent="0.25">
      <c r="A57" s="4" t="s">
        <v>123</v>
      </c>
      <c r="C57" s="6">
        <f t="shared" ref="C57:J57" si="17">C51/((1+C16))</f>
        <v>1299.8967628747232</v>
      </c>
      <c r="D57" s="6">
        <f t="shared" si="17"/>
        <v>87.68125972571562</v>
      </c>
      <c r="E57" s="6">
        <f t="shared" si="17"/>
        <v>74.525364778560842</v>
      </c>
      <c r="F57" s="6">
        <f t="shared" si="17"/>
        <v>-40.608297369645264</v>
      </c>
      <c r="G57" s="6">
        <f t="shared" si="17"/>
        <v>-71.655783202707255</v>
      </c>
      <c r="H57" s="6">
        <f t="shared" si="17"/>
        <v>0</v>
      </c>
      <c r="I57" s="6">
        <f t="shared" si="17"/>
        <v>0</v>
      </c>
      <c r="J57" s="6">
        <f t="shared" si="17"/>
        <v>0</v>
      </c>
    </row>
    <row r="58" spans="1:10" x14ac:dyDescent="0.25">
      <c r="A58" s="4" t="s">
        <v>124</v>
      </c>
      <c r="C58" s="6">
        <f t="shared" ref="C58:J58" si="18">C52/((1+C16)*(1+C16+(C104-C16)*1/5))</f>
        <v>1233.9400138911722</v>
      </c>
      <c r="D58" s="6">
        <f t="shared" si="18"/>
        <v>148.18256309190591</v>
      </c>
      <c r="E58" s="6">
        <f t="shared" si="18"/>
        <v>131.87719639869184</v>
      </c>
      <c r="F58" s="6">
        <f t="shared" si="18"/>
        <v>-13.832107369731615</v>
      </c>
      <c r="G58" s="6">
        <f t="shared" si="18"/>
        <v>-36.881279337445157</v>
      </c>
      <c r="H58" s="6">
        <f t="shared" si="18"/>
        <v>0</v>
      </c>
      <c r="I58" s="6">
        <f t="shared" si="18"/>
        <v>0</v>
      </c>
      <c r="J58" s="6">
        <f t="shared" si="18"/>
        <v>0</v>
      </c>
    </row>
    <row r="59" spans="1:10" x14ac:dyDescent="0.25">
      <c r="A59" s="4" t="s">
        <v>125</v>
      </c>
      <c r="C59" s="6">
        <f t="shared" ref="C59:J59" si="19">C53/((1+C16)*(1+C16+(C104-C16)*1/5)*(1+C16+(C104-C16)*2/5))</f>
        <v>1171.7272958137612</v>
      </c>
      <c r="D59" s="6">
        <f t="shared" si="19"/>
        <v>202.2037496355363</v>
      </c>
      <c r="E59" s="6">
        <f t="shared" si="19"/>
        <v>182.92011540783687</v>
      </c>
      <c r="F59" s="6">
        <f t="shared" si="19"/>
        <v>8.6912564181518714</v>
      </c>
      <c r="G59" s="6">
        <f t="shared" si="19"/>
        <v>-6.4044483433891646</v>
      </c>
      <c r="H59" s="6">
        <f t="shared" si="19"/>
        <v>0</v>
      </c>
      <c r="I59" s="6">
        <f t="shared" si="19"/>
        <v>0</v>
      </c>
      <c r="J59" s="6">
        <f t="shared" si="19"/>
        <v>0</v>
      </c>
    </row>
    <row r="60" spans="1:10" x14ac:dyDescent="0.25">
      <c r="A60" s="4" t="s">
        <v>126</v>
      </c>
      <c r="C60" s="6">
        <f t="shared" ref="C60:J60" si="20">C54/((1+C16)*(1+C16+(C104-C16)*1/5)*(1+C16+(C104-C16)*2/5)*(1+C16+(C104-C16)*3/5))</f>
        <v>1113.0304886791678</v>
      </c>
      <c r="D60" s="6">
        <f t="shared" si="20"/>
        <v>250.32641516634604</v>
      </c>
      <c r="E60" s="6">
        <f t="shared" si="20"/>
        <v>228.34099140103692</v>
      </c>
      <c r="F60" s="6">
        <f t="shared" si="20"/>
        <v>27.515470248757332</v>
      </c>
      <c r="G60" s="6">
        <f t="shared" si="20"/>
        <v>20.224838362023135</v>
      </c>
      <c r="H60" s="6">
        <f t="shared" si="20"/>
        <v>0</v>
      </c>
      <c r="I60" s="6">
        <f t="shared" si="20"/>
        <v>0</v>
      </c>
      <c r="J60" s="6">
        <f t="shared" si="20"/>
        <v>0</v>
      </c>
    </row>
    <row r="61" spans="1:10" x14ac:dyDescent="0.25">
      <c r="A61" s="4" t="s">
        <v>127</v>
      </c>
      <c r="C61" s="6">
        <f t="shared" ref="C61:J61" si="21">C55/((1+C16)*(1+C16+(C104-C16)*1/5)*(1+C16+(C104-C16)*2/5)*(1+C16+(C104-C16)*3/5)*(1+C16+(C104-C16)*4/5))</f>
        <v>1057.6361170684409</v>
      </c>
      <c r="D61" s="6">
        <f t="shared" si="21"/>
        <v>293.08187881191293</v>
      </c>
      <c r="E61" s="6">
        <f t="shared" si="21"/>
        <v>268.75331161248465</v>
      </c>
      <c r="F61" s="6">
        <f t="shared" si="21"/>
        <v>43.126742322686638</v>
      </c>
      <c r="G61" s="6">
        <f t="shared" si="21"/>
        <v>43.411623919038426</v>
      </c>
      <c r="H61" s="6">
        <f t="shared" si="21"/>
        <v>0</v>
      </c>
      <c r="I61" s="6">
        <f t="shared" si="21"/>
        <v>0</v>
      </c>
      <c r="J61" s="6">
        <f t="shared" si="21"/>
        <v>0</v>
      </c>
    </row>
    <row r="62" spans="1:10" x14ac:dyDescent="0.25">
      <c r="A62" s="3" t="s">
        <v>128</v>
      </c>
    </row>
    <row r="63" spans="1:10" x14ac:dyDescent="0.25">
      <c r="A63" s="4" t="s">
        <v>129</v>
      </c>
      <c r="C63" s="6">
        <f t="shared" ref="C63:J63" si="22">C25*(1+(C6+(C13-C6)*1/5))</f>
        <v>25608.617622570186</v>
      </c>
      <c r="D63" s="6">
        <f t="shared" si="22"/>
        <v>20381.140715554153</v>
      </c>
      <c r="E63" s="6">
        <f t="shared" si="22"/>
        <v>19454.646223171127</v>
      </c>
      <c r="F63" s="6">
        <f t="shared" si="22"/>
        <v>6137.9928739563511</v>
      </c>
      <c r="G63" s="6">
        <f t="shared" si="22"/>
        <v>17906.257486469149</v>
      </c>
      <c r="H63" s="6">
        <f t="shared" si="22"/>
        <v>0</v>
      </c>
      <c r="I63" s="6">
        <f t="shared" si="22"/>
        <v>0</v>
      </c>
      <c r="J63" s="6">
        <f t="shared" si="22"/>
        <v>0</v>
      </c>
    </row>
    <row r="64" spans="1:10" x14ac:dyDescent="0.25">
      <c r="A64" s="4" t="s">
        <v>130</v>
      </c>
      <c r="C64" s="6">
        <f t="shared" ref="C64:J64" si="23">C63*(1+(C6+(C13-C6)*2/5))</f>
        <v>25918.723415324279</v>
      </c>
      <c r="D64" s="6">
        <f t="shared" si="23"/>
        <v>20678.897588238695</v>
      </c>
      <c r="E64" s="6">
        <f t="shared" si="23"/>
        <v>19777.776830775492</v>
      </c>
      <c r="F64" s="6">
        <f t="shared" si="23"/>
        <v>6093.8572137887613</v>
      </c>
      <c r="G64" s="6">
        <f t="shared" si="23"/>
        <v>17970.888890584942</v>
      </c>
      <c r="H64" s="6">
        <f t="shared" si="23"/>
        <v>0</v>
      </c>
      <c r="I64" s="6">
        <f t="shared" si="23"/>
        <v>0</v>
      </c>
      <c r="J64" s="6">
        <f t="shared" si="23"/>
        <v>0</v>
      </c>
    </row>
    <row r="65" spans="1:10" x14ac:dyDescent="0.25">
      <c r="A65" s="4" t="s">
        <v>131</v>
      </c>
      <c r="C65" s="6">
        <f t="shared" ref="C65:J65" si="24">C64*(1+(C6+(C13-C6)*3/5))</f>
        <v>26292.319698782467</v>
      </c>
      <c r="D65" s="6">
        <f t="shared" si="24"/>
        <v>20976.966253164177</v>
      </c>
      <c r="E65" s="6">
        <f t="shared" si="24"/>
        <v>20122.189939335694</v>
      </c>
      <c r="F65" s="6">
        <f t="shared" si="24"/>
        <v>6089.0683364279412</v>
      </c>
      <c r="G65" s="6">
        <f t="shared" si="24"/>
        <v>18068.185920666612</v>
      </c>
      <c r="H65" s="6">
        <f t="shared" si="24"/>
        <v>0</v>
      </c>
      <c r="I65" s="6">
        <f t="shared" si="24"/>
        <v>0</v>
      </c>
      <c r="J65" s="6">
        <f t="shared" si="24"/>
        <v>0</v>
      </c>
    </row>
    <row r="66" spans="1:10" x14ac:dyDescent="0.25">
      <c r="A66" s="4" t="s">
        <v>132</v>
      </c>
      <c r="C66" s="6">
        <f t="shared" ref="C66:J66" si="25">C65*(1+(C6+(C13-C6)*4/5))</f>
        <v>26731.897373030879</v>
      </c>
      <c r="D66" s="6">
        <f t="shared" si="25"/>
        <v>21275.234849111595</v>
      </c>
      <c r="E66" s="6">
        <f t="shared" si="25"/>
        <v>20488.793348282961</v>
      </c>
      <c r="F66" s="6">
        <f t="shared" si="25"/>
        <v>6123.2819733293418</v>
      </c>
      <c r="G66" s="6">
        <f t="shared" si="25"/>
        <v>18198.617667977331</v>
      </c>
      <c r="H66" s="6">
        <f t="shared" si="25"/>
        <v>0</v>
      </c>
      <c r="I66" s="6">
        <f t="shared" si="25"/>
        <v>0</v>
      </c>
      <c r="J66" s="6">
        <f t="shared" si="25"/>
        <v>0</v>
      </c>
    </row>
    <row r="67" spans="1:10" x14ac:dyDescent="0.25">
      <c r="A67" s="4" t="s">
        <v>133</v>
      </c>
      <c r="C67" s="6">
        <f t="shared" ref="C67:J67" si="26">C66*(1+(C6+(C13-C6)*5/5))</f>
        <v>27240.433706558983</v>
      </c>
      <c r="D67" s="6">
        <f t="shared" si="26"/>
        <v>21573.589763502936</v>
      </c>
      <c r="E67" s="6">
        <f t="shared" si="26"/>
        <v>20878.563505722759</v>
      </c>
      <c r="F67" s="6">
        <f t="shared" si="26"/>
        <v>6196.9057314685988</v>
      </c>
      <c r="G67" s="6">
        <f t="shared" si="26"/>
        <v>18362.834313155228</v>
      </c>
      <c r="H67" s="6">
        <f t="shared" si="26"/>
        <v>0</v>
      </c>
      <c r="I67" s="6">
        <f t="shared" si="26"/>
        <v>0</v>
      </c>
      <c r="J67" s="6">
        <f t="shared" si="26"/>
        <v>0</v>
      </c>
    </row>
    <row r="69" spans="1:10" x14ac:dyDescent="0.25">
      <c r="A69" s="4" t="s">
        <v>134</v>
      </c>
      <c r="C69" s="11">
        <f t="shared" ref="C69:J69" si="27">IF(ISBLANK(C9),C7,C9)</f>
        <v>0.12</v>
      </c>
      <c r="D69" s="11">
        <f t="shared" si="27"/>
        <v>3.6094311815090888E-2</v>
      </c>
      <c r="E69" s="11">
        <f t="shared" si="27"/>
        <v>6.0999999999999992E-2</v>
      </c>
      <c r="F69" s="11">
        <f t="shared" si="27"/>
        <v>3.5000000000000003E-2</v>
      </c>
      <c r="G69" s="11">
        <f t="shared" si="27"/>
        <v>4.4999999999999998E-2</v>
      </c>
      <c r="H69" s="11">
        <f t="shared" si="27"/>
        <v>0</v>
      </c>
      <c r="I69" s="11">
        <f t="shared" si="27"/>
        <v>0</v>
      </c>
      <c r="J69" s="11">
        <f t="shared" si="27"/>
        <v>0</v>
      </c>
    </row>
    <row r="70" spans="1:10" x14ac:dyDescent="0.25">
      <c r="A70" s="4" t="s">
        <v>135</v>
      </c>
      <c r="C70" s="11">
        <f t="shared" ref="C70:J70" si="28">IF(ISBLANK(C9),C7,C9)</f>
        <v>0.12</v>
      </c>
      <c r="D70" s="11">
        <f t="shared" si="28"/>
        <v>3.6094311815090888E-2</v>
      </c>
      <c r="E70" s="11">
        <f t="shared" si="28"/>
        <v>6.0999999999999992E-2</v>
      </c>
      <c r="F70" s="11">
        <f t="shared" si="28"/>
        <v>3.5000000000000003E-2</v>
      </c>
      <c r="G70" s="11">
        <f t="shared" si="28"/>
        <v>4.4999999999999998E-2</v>
      </c>
      <c r="H70" s="11">
        <f t="shared" si="28"/>
        <v>0</v>
      </c>
      <c r="I70" s="11">
        <f t="shared" si="28"/>
        <v>0</v>
      </c>
      <c r="J70" s="11">
        <f t="shared" si="28"/>
        <v>0</v>
      </c>
    </row>
    <row r="71" spans="1:10" x14ac:dyDescent="0.25">
      <c r="A71" s="4" t="s">
        <v>136</v>
      </c>
      <c r="C71" s="11">
        <f t="shared" ref="C71:J71" si="29">IF(ISBLANK(C9),C7,C9)</f>
        <v>0.12</v>
      </c>
      <c r="D71" s="11">
        <f t="shared" si="29"/>
        <v>3.6094311815090888E-2</v>
      </c>
      <c r="E71" s="11">
        <f t="shared" si="29"/>
        <v>6.0999999999999992E-2</v>
      </c>
      <c r="F71" s="11">
        <f t="shared" si="29"/>
        <v>3.5000000000000003E-2</v>
      </c>
      <c r="G71" s="11">
        <f t="shared" si="29"/>
        <v>4.4999999999999998E-2</v>
      </c>
      <c r="H71" s="11">
        <f t="shared" si="29"/>
        <v>0</v>
      </c>
      <c r="I71" s="11">
        <f t="shared" si="29"/>
        <v>0</v>
      </c>
      <c r="J71" s="11">
        <f t="shared" si="29"/>
        <v>0</v>
      </c>
    </row>
    <row r="72" spans="1:10" x14ac:dyDescent="0.25">
      <c r="A72" s="4" t="s">
        <v>137</v>
      </c>
      <c r="C72" s="11">
        <f t="shared" ref="C72:J72" si="30">IF(ISBLANK(C9),C7,C9)</f>
        <v>0.12</v>
      </c>
      <c r="D72" s="11">
        <f t="shared" si="30"/>
        <v>3.6094311815090888E-2</v>
      </c>
      <c r="E72" s="11">
        <f t="shared" si="30"/>
        <v>6.0999999999999992E-2</v>
      </c>
      <c r="F72" s="11">
        <f t="shared" si="30"/>
        <v>3.5000000000000003E-2</v>
      </c>
      <c r="G72" s="11">
        <f t="shared" si="30"/>
        <v>4.4999999999999998E-2</v>
      </c>
      <c r="H72" s="11">
        <f t="shared" si="30"/>
        <v>0</v>
      </c>
      <c r="I72" s="11">
        <f t="shared" si="30"/>
        <v>0</v>
      </c>
      <c r="J72" s="11">
        <f t="shared" si="30"/>
        <v>0</v>
      </c>
    </row>
    <row r="73" spans="1:10" x14ac:dyDescent="0.25">
      <c r="A73" s="4" t="s">
        <v>138</v>
      </c>
      <c r="C73" s="11">
        <f t="shared" ref="C73:J73" si="31">IF(ISBLANK(C9),C7,C9)</f>
        <v>0.12</v>
      </c>
      <c r="D73" s="11">
        <f t="shared" si="31"/>
        <v>3.6094311815090888E-2</v>
      </c>
      <c r="E73" s="11">
        <f t="shared" si="31"/>
        <v>6.0999999999999992E-2</v>
      </c>
      <c r="F73" s="11">
        <f t="shared" si="31"/>
        <v>3.5000000000000003E-2</v>
      </c>
      <c r="G73" s="11">
        <f t="shared" si="31"/>
        <v>4.4999999999999998E-2</v>
      </c>
      <c r="H73" s="11">
        <f t="shared" si="31"/>
        <v>0</v>
      </c>
      <c r="I73" s="11">
        <f t="shared" si="31"/>
        <v>0</v>
      </c>
      <c r="J73" s="11">
        <f t="shared" si="31"/>
        <v>0</v>
      </c>
    </row>
    <row r="75" spans="1:10" x14ac:dyDescent="0.25">
      <c r="A75" s="4" t="s">
        <v>139</v>
      </c>
      <c r="C75" s="6">
        <f t="shared" ref="C75:J79" si="32">C63*C69</f>
        <v>3073.0341147084223</v>
      </c>
      <c r="D75" s="6">
        <f t="shared" si="32"/>
        <v>735.64324813445626</v>
      </c>
      <c r="E75" s="6">
        <f t="shared" si="32"/>
        <v>1186.7334196134386</v>
      </c>
      <c r="F75" s="6">
        <f t="shared" si="32"/>
        <v>214.82975058847231</v>
      </c>
      <c r="G75" s="6">
        <f t="shared" si="32"/>
        <v>805.78158689111171</v>
      </c>
      <c r="H75" s="6">
        <f t="shared" si="32"/>
        <v>0</v>
      </c>
      <c r="I75" s="6">
        <f t="shared" si="32"/>
        <v>0</v>
      </c>
      <c r="J75" s="6">
        <f t="shared" si="32"/>
        <v>0</v>
      </c>
    </row>
    <row r="76" spans="1:10" x14ac:dyDescent="0.25">
      <c r="A76" s="4" t="s">
        <v>140</v>
      </c>
      <c r="C76" s="6">
        <f t="shared" si="32"/>
        <v>3110.2468098389136</v>
      </c>
      <c r="D76" s="6">
        <f t="shared" si="32"/>
        <v>746.39057754221835</v>
      </c>
      <c r="E76" s="6">
        <f t="shared" si="32"/>
        <v>1206.4443866773049</v>
      </c>
      <c r="F76" s="6">
        <f t="shared" si="32"/>
        <v>213.28500248260667</v>
      </c>
      <c r="G76" s="6">
        <f t="shared" si="32"/>
        <v>808.69000007632235</v>
      </c>
      <c r="H76" s="6">
        <f t="shared" si="32"/>
        <v>0</v>
      </c>
      <c r="I76" s="6">
        <f t="shared" si="32"/>
        <v>0</v>
      </c>
      <c r="J76" s="6">
        <f t="shared" si="32"/>
        <v>0</v>
      </c>
    </row>
    <row r="77" spans="1:10" x14ac:dyDescent="0.25">
      <c r="A77" s="4" t="s">
        <v>141</v>
      </c>
      <c r="C77" s="6">
        <f t="shared" si="32"/>
        <v>3155.078363853896</v>
      </c>
      <c r="D77" s="6">
        <f t="shared" si="32"/>
        <v>757.14916087634663</v>
      </c>
      <c r="E77" s="6">
        <f t="shared" si="32"/>
        <v>1227.4535862994771</v>
      </c>
      <c r="F77" s="6">
        <f t="shared" si="32"/>
        <v>213.11739177497796</v>
      </c>
      <c r="G77" s="6">
        <f t="shared" si="32"/>
        <v>813.06836642999747</v>
      </c>
      <c r="H77" s="6">
        <f t="shared" si="32"/>
        <v>0</v>
      </c>
      <c r="I77" s="6">
        <f t="shared" si="32"/>
        <v>0</v>
      </c>
      <c r="J77" s="6">
        <f t="shared" si="32"/>
        <v>0</v>
      </c>
    </row>
    <row r="78" spans="1:10" x14ac:dyDescent="0.25">
      <c r="A78" s="4" t="s">
        <v>142</v>
      </c>
      <c r="C78" s="6">
        <f t="shared" si="32"/>
        <v>3207.8276847637053</v>
      </c>
      <c r="D78" s="6">
        <f t="shared" si="32"/>
        <v>767.91496058312202</v>
      </c>
      <c r="E78" s="6">
        <f t="shared" si="32"/>
        <v>1249.8163942452604</v>
      </c>
      <c r="F78" s="6">
        <f t="shared" si="32"/>
        <v>214.314869066527</v>
      </c>
      <c r="G78" s="6">
        <f t="shared" si="32"/>
        <v>818.93779505897987</v>
      </c>
      <c r="H78" s="6">
        <f t="shared" si="32"/>
        <v>0</v>
      </c>
      <c r="I78" s="6">
        <f t="shared" si="32"/>
        <v>0</v>
      </c>
      <c r="J78" s="6">
        <f t="shared" si="32"/>
        <v>0</v>
      </c>
    </row>
    <row r="79" spans="1:10" x14ac:dyDescent="0.25">
      <c r="A79" s="4" t="s">
        <v>143</v>
      </c>
      <c r="C79" s="6">
        <f t="shared" si="32"/>
        <v>3268.8520447870778</v>
      </c>
      <c r="D79" s="6">
        <f t="shared" si="32"/>
        <v>778.68387589472786</v>
      </c>
      <c r="E79" s="6">
        <f t="shared" si="32"/>
        <v>1273.5923738490881</v>
      </c>
      <c r="F79" s="6">
        <f t="shared" si="32"/>
        <v>216.89170060140097</v>
      </c>
      <c r="G79" s="6">
        <f t="shared" si="32"/>
        <v>826.32754409198526</v>
      </c>
      <c r="H79" s="6">
        <f t="shared" si="32"/>
        <v>0</v>
      </c>
      <c r="I79" s="6">
        <f t="shared" si="32"/>
        <v>0</v>
      </c>
      <c r="J79" s="6">
        <f t="shared" si="32"/>
        <v>0</v>
      </c>
    </row>
    <row r="81" spans="1:10" x14ac:dyDescent="0.25">
      <c r="A81" s="4" t="s">
        <v>144</v>
      </c>
      <c r="C81" s="6">
        <f>C75*(1-Inputs!B22)</f>
        <v>2172.6351190988548</v>
      </c>
      <c r="D81" s="6">
        <f>D75*(1-Inputs!B22)</f>
        <v>520.0997764310606</v>
      </c>
      <c r="E81" s="6">
        <f>E75*(1-Inputs!B22)</f>
        <v>839.02052766670124</v>
      </c>
      <c r="F81" s="6">
        <f>F75*(1-Inputs!B22)</f>
        <v>151.88463366604995</v>
      </c>
      <c r="G81" s="6">
        <f>G75*(1-Inputs!B22)</f>
        <v>569.68758193201609</v>
      </c>
      <c r="H81" s="6">
        <f>H75*(1-Inputs!B22)</f>
        <v>0</v>
      </c>
      <c r="I81" s="6">
        <f>I75*(1-Inputs!B22)</f>
        <v>0</v>
      </c>
      <c r="J81" s="6">
        <f>J75*(1-Inputs!B22)</f>
        <v>0</v>
      </c>
    </row>
    <row r="82" spans="1:10" x14ac:dyDescent="0.25">
      <c r="A82" s="4" t="s">
        <v>145</v>
      </c>
      <c r="C82" s="6">
        <f>C76*(1-Inputs!B22)</f>
        <v>2198.9444945561122</v>
      </c>
      <c r="D82" s="6">
        <f>D76*(1-Inputs!B22)</f>
        <v>527.69813832234843</v>
      </c>
      <c r="E82" s="6">
        <f>E76*(1-Inputs!B22)</f>
        <v>852.95618138085467</v>
      </c>
      <c r="F82" s="6">
        <f>F76*(1-Inputs!B22)</f>
        <v>150.79249675520293</v>
      </c>
      <c r="G82" s="6">
        <f>G76*(1-Inputs!B22)</f>
        <v>571.74383005395998</v>
      </c>
      <c r="H82" s="6">
        <f>H76*(1-Inputs!B22)</f>
        <v>0</v>
      </c>
      <c r="I82" s="6">
        <f>I76*(1-Inputs!B22)</f>
        <v>0</v>
      </c>
      <c r="J82" s="6">
        <f>J76*(1-Inputs!B22)</f>
        <v>0</v>
      </c>
    </row>
    <row r="83" spans="1:10" x14ac:dyDescent="0.25">
      <c r="A83" s="4" t="s">
        <v>146</v>
      </c>
      <c r="C83" s="6">
        <f>C77*(1-Inputs!B22)</f>
        <v>2230.6404032447049</v>
      </c>
      <c r="D83" s="6">
        <f>D77*(1-Inputs!B22)</f>
        <v>535.30445673957718</v>
      </c>
      <c r="E83" s="6">
        <f>E77*(1-Inputs!B22)</f>
        <v>867.80968551373041</v>
      </c>
      <c r="F83" s="6">
        <f>F77*(1-Inputs!B22)</f>
        <v>150.67399598490942</v>
      </c>
      <c r="G83" s="6">
        <f>G77*(1-Inputs!B22)</f>
        <v>574.83933506600829</v>
      </c>
      <c r="H83" s="6">
        <f>H77*(1-Inputs!B22)</f>
        <v>0</v>
      </c>
      <c r="I83" s="6">
        <f>I77*(1-Inputs!B22)</f>
        <v>0</v>
      </c>
      <c r="J83" s="6">
        <f>J77*(1-Inputs!B22)</f>
        <v>0</v>
      </c>
    </row>
    <row r="84" spans="1:10" x14ac:dyDescent="0.25">
      <c r="A84" s="4" t="s">
        <v>147</v>
      </c>
      <c r="C84" s="6">
        <f>C78*(1-Inputs!B22)</f>
        <v>2267.9341731279401</v>
      </c>
      <c r="D84" s="6">
        <f>D78*(1-Inputs!B22)</f>
        <v>542.91587713226738</v>
      </c>
      <c r="E84" s="6">
        <f>E78*(1-Inputs!B22)</f>
        <v>883.62019073139925</v>
      </c>
      <c r="F84" s="6">
        <f>F78*(1-Inputs!B22)</f>
        <v>151.52061243003459</v>
      </c>
      <c r="G84" s="6">
        <f>G78*(1-Inputs!B22)</f>
        <v>578.98902110669883</v>
      </c>
      <c r="H84" s="6">
        <f>H78*(1-Inputs!B22)</f>
        <v>0</v>
      </c>
      <c r="I84" s="6">
        <f>I78*(1-Inputs!B22)</f>
        <v>0</v>
      </c>
      <c r="J84" s="6">
        <f>J78*(1-Inputs!B22)</f>
        <v>0</v>
      </c>
    </row>
    <row r="85" spans="1:10" x14ac:dyDescent="0.25">
      <c r="A85" s="4" t="s">
        <v>148</v>
      </c>
      <c r="C85" s="6">
        <f>C79*(1-Inputs!B22)</f>
        <v>2311.0783956644641</v>
      </c>
      <c r="D85" s="6">
        <f>D79*(1-Inputs!B22)</f>
        <v>550.52950025757264</v>
      </c>
      <c r="E85" s="6">
        <f>E79*(1-Inputs!B22)</f>
        <v>900.42980831130535</v>
      </c>
      <c r="F85" s="6">
        <f>F79*(1-Inputs!B22)</f>
        <v>153.34243232519052</v>
      </c>
      <c r="G85" s="6">
        <f>G79*(1-Inputs!B22)</f>
        <v>584.21357367303369</v>
      </c>
      <c r="H85" s="6">
        <f>H79*(1-Inputs!B22)</f>
        <v>0</v>
      </c>
      <c r="I85" s="6">
        <f>I79*(1-Inputs!B22)</f>
        <v>0</v>
      </c>
      <c r="J85" s="6">
        <f>J79*(1-Inputs!B22)</f>
        <v>0</v>
      </c>
    </row>
    <row r="87" spans="1:10" x14ac:dyDescent="0.25">
      <c r="A87" s="4" t="s">
        <v>149</v>
      </c>
      <c r="C87" s="6">
        <f t="shared" ref="C87:J87" si="33">C63*MAX(IF(ISBLANK(C26),C12,C26),0)</f>
        <v>670.9457817113389</v>
      </c>
      <c r="D87" s="6">
        <f t="shared" si="33"/>
        <v>101.90570357777077</v>
      </c>
      <c r="E87" s="6">
        <f t="shared" si="33"/>
        <v>451.3477923775701</v>
      </c>
      <c r="F87" s="6">
        <f t="shared" si="33"/>
        <v>92.069893109345259</v>
      </c>
      <c r="G87" s="6">
        <f t="shared" si="33"/>
        <v>508.53771261572388</v>
      </c>
      <c r="H87" s="6">
        <f t="shared" si="33"/>
        <v>0</v>
      </c>
      <c r="I87" s="6">
        <f t="shared" si="33"/>
        <v>0</v>
      </c>
      <c r="J87" s="6">
        <f t="shared" si="33"/>
        <v>0</v>
      </c>
    </row>
    <row r="88" spans="1:10" x14ac:dyDescent="0.25">
      <c r="A88" s="4" t="s">
        <v>150</v>
      </c>
      <c r="C88" s="6">
        <f t="shared" ref="C88:J88" si="34">C64*MAX(IF(ISBLANK(C26),C12,C26),0)</f>
        <v>679.07055348149618</v>
      </c>
      <c r="D88" s="6">
        <f t="shared" si="34"/>
        <v>103.39448794119347</v>
      </c>
      <c r="E88" s="6">
        <f t="shared" si="34"/>
        <v>458.84442247399141</v>
      </c>
      <c r="F88" s="6">
        <f t="shared" si="34"/>
        <v>91.40785820683142</v>
      </c>
      <c r="G88" s="6">
        <f t="shared" si="34"/>
        <v>510.3732444926124</v>
      </c>
      <c r="H88" s="6">
        <f t="shared" si="34"/>
        <v>0</v>
      </c>
      <c r="I88" s="6">
        <f t="shared" si="34"/>
        <v>0</v>
      </c>
      <c r="J88" s="6">
        <f t="shared" si="34"/>
        <v>0</v>
      </c>
    </row>
    <row r="89" spans="1:10" x14ac:dyDescent="0.25">
      <c r="A89" s="4" t="s">
        <v>151</v>
      </c>
      <c r="C89" s="6">
        <f t="shared" ref="C89:J89" si="35">C65*MAX(IF(ISBLANK(C26),C12,C26),0)</f>
        <v>688.85877610810064</v>
      </c>
      <c r="D89" s="6">
        <f t="shared" si="35"/>
        <v>104.88483126582089</v>
      </c>
      <c r="E89" s="6">
        <f t="shared" si="35"/>
        <v>466.83480659258805</v>
      </c>
      <c r="F89" s="6">
        <f t="shared" si="35"/>
        <v>91.33602504641911</v>
      </c>
      <c r="G89" s="6">
        <f t="shared" si="35"/>
        <v>513.13648014693183</v>
      </c>
      <c r="H89" s="6">
        <f t="shared" si="35"/>
        <v>0</v>
      </c>
      <c r="I89" s="6">
        <f t="shared" si="35"/>
        <v>0</v>
      </c>
      <c r="J89" s="6">
        <f t="shared" si="35"/>
        <v>0</v>
      </c>
    </row>
    <row r="90" spans="1:10" x14ac:dyDescent="0.25">
      <c r="A90" s="4" t="s">
        <v>152</v>
      </c>
      <c r="C90" s="6">
        <f t="shared" ref="C90:J90" si="36">C66*MAX(IF(ISBLANK(C26),C12,C26),0)</f>
        <v>700.37571117340906</v>
      </c>
      <c r="D90" s="6">
        <f t="shared" si="36"/>
        <v>106.37617424555798</v>
      </c>
      <c r="E90" s="6">
        <f t="shared" si="36"/>
        <v>475.34000568016467</v>
      </c>
      <c r="F90" s="6">
        <f t="shared" si="36"/>
        <v>91.849229599940116</v>
      </c>
      <c r="G90" s="6">
        <f t="shared" si="36"/>
        <v>516.84074177055618</v>
      </c>
      <c r="H90" s="6">
        <f t="shared" si="36"/>
        <v>0</v>
      </c>
      <c r="I90" s="6">
        <f t="shared" si="36"/>
        <v>0</v>
      </c>
      <c r="J90" s="6">
        <f t="shared" si="36"/>
        <v>0</v>
      </c>
    </row>
    <row r="91" spans="1:10" x14ac:dyDescent="0.25">
      <c r="A91" s="4" t="s">
        <v>153</v>
      </c>
      <c r="C91" s="6">
        <f t="shared" ref="C91:J91" si="37">C67*MAX(IF(ISBLANK(C26),C12,C26),0)</f>
        <v>713.6993631118454</v>
      </c>
      <c r="D91" s="6">
        <f t="shared" si="37"/>
        <v>107.86794881751469</v>
      </c>
      <c r="E91" s="6">
        <f t="shared" si="37"/>
        <v>484.38267333276798</v>
      </c>
      <c r="F91" s="6">
        <f t="shared" si="37"/>
        <v>92.953585972028975</v>
      </c>
      <c r="G91" s="6">
        <f t="shared" si="37"/>
        <v>521.50449449360849</v>
      </c>
      <c r="H91" s="6">
        <f t="shared" si="37"/>
        <v>0</v>
      </c>
      <c r="I91" s="6">
        <f t="shared" si="37"/>
        <v>0</v>
      </c>
      <c r="J91" s="6">
        <f t="shared" si="37"/>
        <v>0</v>
      </c>
    </row>
    <row r="93" spans="1:10" x14ac:dyDescent="0.25">
      <c r="A93" s="4" t="s">
        <v>154</v>
      </c>
      <c r="C93" s="6">
        <f t="shared" ref="C93:J97" si="38">C81-C87</f>
        <v>1501.6893373875159</v>
      </c>
      <c r="D93" s="6">
        <f t="shared" si="38"/>
        <v>418.19407285328987</v>
      </c>
      <c r="E93" s="6">
        <f t="shared" si="38"/>
        <v>387.67273528913114</v>
      </c>
      <c r="F93" s="6">
        <f t="shared" si="38"/>
        <v>59.814740556704692</v>
      </c>
      <c r="G93" s="6">
        <f t="shared" si="38"/>
        <v>61.149869316292211</v>
      </c>
      <c r="H93" s="6">
        <f t="shared" si="38"/>
        <v>0</v>
      </c>
      <c r="I93" s="6">
        <f t="shared" si="38"/>
        <v>0</v>
      </c>
      <c r="J93" s="6">
        <f t="shared" si="38"/>
        <v>0</v>
      </c>
    </row>
    <row r="94" spans="1:10" x14ac:dyDescent="0.25">
      <c r="A94" s="4" t="s">
        <v>155</v>
      </c>
      <c r="C94" s="6">
        <f t="shared" si="38"/>
        <v>1519.8739410746161</v>
      </c>
      <c r="D94" s="6">
        <f t="shared" si="38"/>
        <v>424.30365038115497</v>
      </c>
      <c r="E94" s="6">
        <f t="shared" si="38"/>
        <v>394.11175890686326</v>
      </c>
      <c r="F94" s="6">
        <f t="shared" si="38"/>
        <v>59.384638548371512</v>
      </c>
      <c r="G94" s="6">
        <f t="shared" si="38"/>
        <v>61.370585561347582</v>
      </c>
      <c r="H94" s="6">
        <f t="shared" si="38"/>
        <v>0</v>
      </c>
      <c r="I94" s="6">
        <f t="shared" si="38"/>
        <v>0</v>
      </c>
      <c r="J94" s="6">
        <f t="shared" si="38"/>
        <v>0</v>
      </c>
    </row>
    <row r="95" spans="1:10" x14ac:dyDescent="0.25">
      <c r="A95" s="4" t="s">
        <v>156</v>
      </c>
      <c r="C95" s="6">
        <f t="shared" si="38"/>
        <v>1541.7816271366041</v>
      </c>
      <c r="D95" s="6">
        <f t="shared" si="38"/>
        <v>430.4196254737563</v>
      </c>
      <c r="E95" s="6">
        <f t="shared" si="38"/>
        <v>400.97487892114236</v>
      </c>
      <c r="F95" s="6">
        <f t="shared" si="38"/>
        <v>59.337970938490315</v>
      </c>
      <c r="G95" s="6">
        <f t="shared" si="38"/>
        <v>61.702854919076458</v>
      </c>
      <c r="H95" s="6">
        <f t="shared" si="38"/>
        <v>0</v>
      </c>
      <c r="I95" s="6">
        <f t="shared" si="38"/>
        <v>0</v>
      </c>
      <c r="J95" s="6">
        <f t="shared" si="38"/>
        <v>0</v>
      </c>
    </row>
    <row r="96" spans="1:10" x14ac:dyDescent="0.25">
      <c r="A96" s="4" t="s">
        <v>157</v>
      </c>
      <c r="C96" s="6">
        <f t="shared" si="38"/>
        <v>1567.5584619545311</v>
      </c>
      <c r="D96" s="6">
        <f t="shared" si="38"/>
        <v>436.53970288670939</v>
      </c>
      <c r="E96" s="6">
        <f t="shared" si="38"/>
        <v>408.28018505123458</v>
      </c>
      <c r="F96" s="6">
        <f t="shared" si="38"/>
        <v>59.671382830094473</v>
      </c>
      <c r="G96" s="6">
        <f t="shared" si="38"/>
        <v>62.14827933614265</v>
      </c>
      <c r="H96" s="6">
        <f t="shared" si="38"/>
        <v>0</v>
      </c>
      <c r="I96" s="6">
        <f t="shared" si="38"/>
        <v>0</v>
      </c>
      <c r="J96" s="6">
        <f t="shared" si="38"/>
        <v>0</v>
      </c>
    </row>
    <row r="97" spans="1:11" x14ac:dyDescent="0.25">
      <c r="A97" s="4" t="s">
        <v>158</v>
      </c>
      <c r="C97" s="6">
        <f t="shared" si="38"/>
        <v>1597.3790325526188</v>
      </c>
      <c r="D97" s="6">
        <f t="shared" si="38"/>
        <v>442.66155144005796</v>
      </c>
      <c r="E97" s="6">
        <f t="shared" si="38"/>
        <v>416.04713497853737</v>
      </c>
      <c r="F97" s="6">
        <f t="shared" si="38"/>
        <v>60.38884635316154</v>
      </c>
      <c r="G97" s="6">
        <f t="shared" si="38"/>
        <v>62.709079179425203</v>
      </c>
      <c r="H97" s="6">
        <f t="shared" si="38"/>
        <v>0</v>
      </c>
      <c r="I97" s="6">
        <f t="shared" si="38"/>
        <v>0</v>
      </c>
      <c r="J97" s="6">
        <f t="shared" si="38"/>
        <v>0</v>
      </c>
    </row>
    <row r="99" spans="1:11" x14ac:dyDescent="0.25">
      <c r="A99" s="4" t="s">
        <v>159</v>
      </c>
      <c r="C99" s="6">
        <f t="shared" ref="C99:J99" si="39">C93/(((1+C16)*(1+C16+(C104-C16)*1/5)*(1+C16+(C104-C16)*2/5)*(1+C16+(C104-C16)*3/5)*(1+C16+(C104-C16)*4/5))*(1+C104)^1)</f>
        <v>998.8956379929989</v>
      </c>
      <c r="D99" s="6">
        <f t="shared" si="39"/>
        <v>278.17486933376318</v>
      </c>
      <c r="E99" s="6">
        <f t="shared" si="39"/>
        <v>255.33508725176833</v>
      </c>
      <c r="F99" s="6">
        <f t="shared" si="39"/>
        <v>39.787645781463581</v>
      </c>
      <c r="G99" s="6">
        <f t="shared" si="39"/>
        <v>40.675748440853262</v>
      </c>
      <c r="H99" s="6">
        <f t="shared" si="39"/>
        <v>0</v>
      </c>
      <c r="I99" s="6">
        <f t="shared" si="39"/>
        <v>0</v>
      </c>
      <c r="J99" s="6">
        <f t="shared" si="39"/>
        <v>0</v>
      </c>
    </row>
    <row r="100" spans="1:11" x14ac:dyDescent="0.25">
      <c r="A100" s="4" t="s">
        <v>160</v>
      </c>
      <c r="C100" s="6">
        <f t="shared" ref="C100:J100" si="40">C94/(((1+C16)*(1+C16+(C104-C16)*1/5)*(1+C16+(C104-C16)*2/5)*(1+C16+(C104-C16)*3/5)*(1+C16+(C104-C16)*4/5))*(1+C104)^2)</f>
        <v>945.57076777885311</v>
      </c>
      <c r="D100" s="6">
        <f t="shared" si="40"/>
        <v>263.97526638203078</v>
      </c>
      <c r="E100" s="6">
        <f t="shared" si="40"/>
        <v>242.77897954877838</v>
      </c>
      <c r="F100" s="6">
        <f t="shared" si="40"/>
        <v>36.94541813563248</v>
      </c>
      <c r="G100" s="6">
        <f t="shared" si="40"/>
        <v>38.180950498599486</v>
      </c>
      <c r="H100" s="6">
        <f t="shared" si="40"/>
        <v>0</v>
      </c>
      <c r="I100" s="6">
        <f t="shared" si="40"/>
        <v>0</v>
      </c>
      <c r="J100" s="6">
        <f t="shared" si="40"/>
        <v>0</v>
      </c>
    </row>
    <row r="101" spans="1:11" x14ac:dyDescent="0.25">
      <c r="A101" s="4" t="s">
        <v>161</v>
      </c>
      <c r="C101" s="6">
        <f t="shared" ref="C101:J101" si="41">C95/(((1+C16)*(1+C16+(C104-C16)*1/5)*(1+C16+(C104-C16)*2/5)*(1+C16+(C104-C16)*3/5)*(1+C16+(C104-C16)*4/5))*(1+C104)^3)</f>
        <v>897.13083488147595</v>
      </c>
      <c r="D101" s="6">
        <f t="shared" si="41"/>
        <v>250.45227622006834</v>
      </c>
      <c r="E101" s="6">
        <f t="shared" si="41"/>
        <v>231.02304450879731</v>
      </c>
      <c r="F101" s="6">
        <f t="shared" si="41"/>
        <v>34.527537798648297</v>
      </c>
      <c r="G101" s="6">
        <f t="shared" si="41"/>
        <v>35.903614865957323</v>
      </c>
      <c r="H101" s="6">
        <f t="shared" si="41"/>
        <v>0</v>
      </c>
      <c r="I101" s="6">
        <f t="shared" si="41"/>
        <v>0</v>
      </c>
      <c r="J101" s="6">
        <f t="shared" si="41"/>
        <v>0</v>
      </c>
    </row>
    <row r="102" spans="1:11" x14ac:dyDescent="0.25">
      <c r="A102" s="4" t="s">
        <v>162</v>
      </c>
      <c r="C102" s="6">
        <f t="shared" ref="C102:J102" si="42">C96/(((1+C16)*(1+C16+(C104-C16)*1/5)*(1+C16+(C104-C16)*2/5)*(1+C16+(C104-C16)*3/5)*(1+C16+(C104-C16)*4/5))*(1+C104)^4)</f>
        <v>853.10623053099152</v>
      </c>
      <c r="D102" s="6">
        <f t="shared" si="42"/>
        <v>237.5763006264209</v>
      </c>
      <c r="E102" s="6">
        <f t="shared" si="42"/>
        <v>220.01023758829203</v>
      </c>
      <c r="F102" s="6">
        <f t="shared" si="42"/>
        <v>32.474724045239604</v>
      </c>
      <c r="G102" s="6">
        <f t="shared" si="42"/>
        <v>33.822715774400031</v>
      </c>
      <c r="H102" s="6">
        <f t="shared" si="42"/>
        <v>0</v>
      </c>
      <c r="I102" s="6">
        <f t="shared" si="42"/>
        <v>0</v>
      </c>
      <c r="J102" s="6">
        <f t="shared" si="42"/>
        <v>0</v>
      </c>
    </row>
    <row r="103" spans="1:11" x14ac:dyDescent="0.25">
      <c r="A103" s="4" t="s">
        <v>163</v>
      </c>
      <c r="C103" s="6">
        <f t="shared" ref="C103:J103" si="43">C97/(((1+C16)*(1+C16+(C104-C16)*1/5)*(1+C16+(C104-C16)*2/5)*(1+C16+(C104-C16)*3/5)*(1+C16+(C104-C16)*4/5))*(1+C104)^5)</f>
        <v>813.08096822832806</v>
      </c>
      <c r="D103" s="6">
        <f t="shared" si="43"/>
        <v>225.31889771157375</v>
      </c>
      <c r="E103" s="6">
        <f t="shared" si="43"/>
        <v>209.68799734013243</v>
      </c>
      <c r="F103" s="6">
        <f t="shared" si="43"/>
        <v>30.738491405234406</v>
      </c>
      <c r="G103" s="6">
        <f t="shared" si="43"/>
        <v>31.919511760734448</v>
      </c>
      <c r="H103" s="6">
        <f t="shared" si="43"/>
        <v>0</v>
      </c>
      <c r="I103" s="6">
        <f t="shared" si="43"/>
        <v>0</v>
      </c>
      <c r="J103" s="6">
        <f t="shared" si="43"/>
        <v>0</v>
      </c>
    </row>
    <row r="104" spans="1:11" x14ac:dyDescent="0.25">
      <c r="A104" s="4" t="s">
        <v>164</v>
      </c>
      <c r="C104" s="11">
        <f>MAX((Inputs!B18+((1+(1-Inputs!B22)*(Inputs!B36/(1-Inputs!B36)))/(1+(1-Inputs!B22)*0.25))*Inputs!B19+IF(ISBLANK(C17),Inputs!B24,C17)+Inputs!B25+Inputs!B39)*(1-Inputs!B36)+Inputs!B38*Inputs!B36,C15)</f>
        <v>6.918670757304142E-2</v>
      </c>
      <c r="D104" s="11">
        <f>MAX((Inputs!B18+((1+(1-Inputs!B22)*(Inputs!B36/(1-Inputs!B36)))/(1+(1-Inputs!B22)*0.25))*Inputs!B19+IF(ISBLANK(D17),Inputs!B24,D17)+Inputs!B25+Inputs!B39)*(1-Inputs!B36)+Inputs!B38*Inputs!B36,D15)</f>
        <v>6.918670757304142E-2</v>
      </c>
      <c r="E104" s="11">
        <f>MAX((Inputs!B18+((1+(1-Inputs!B22)*(Inputs!B36/(1-Inputs!B36)))/(1+(1-Inputs!B22)*0.25))*Inputs!B19+IF(ISBLANK(E17),Inputs!B24,E17)+Inputs!B25+Inputs!B39)*(1-Inputs!B36)+Inputs!B38*Inputs!B36,E15)</f>
        <v>6.918670757304142E-2</v>
      </c>
      <c r="F104" s="11">
        <f>MAX((Inputs!B18+((1+(1-Inputs!B22)*(Inputs!B36/(1-Inputs!B36)))/(1+(1-Inputs!B22)*0.25))*Inputs!B19+IF(ISBLANK(F17),Inputs!B24,F17)+Inputs!B25+Inputs!B39)*(1-Inputs!B36)+Inputs!B38*Inputs!B36,F15)</f>
        <v>6.918670757304142E-2</v>
      </c>
      <c r="G104" s="11">
        <f>MAX((Inputs!B18+((1+(1-Inputs!B22)*(Inputs!B36/(1-Inputs!B36)))/(1+(1-Inputs!B22)*0.25))*Inputs!B19+IF(ISBLANK(G17),Inputs!B24,G17)+Inputs!B25+Inputs!B39)*(1-Inputs!B36)+Inputs!B38*Inputs!B36,G15)</f>
        <v>6.918670757304142E-2</v>
      </c>
      <c r="H104" s="11">
        <f>MAX((Inputs!B18+((1+(1-Inputs!B22)*(Inputs!B36/(1-Inputs!B36)))/(1+(1-Inputs!B22)*0.25))*Inputs!B19+IF(ISBLANK(H17),Inputs!B24,H17)+Inputs!B25+Inputs!B39)*(1-Inputs!B36)+Inputs!B38*Inputs!B36,H15)</f>
        <v>6.918670757304142E-2</v>
      </c>
      <c r="I104" s="11">
        <f>MAX((Inputs!B18+((1+(1-Inputs!B22)*(Inputs!B36/(1-Inputs!B36)))/(1+(1-Inputs!B22)*0.25))*Inputs!B19+IF(ISBLANK(I17),Inputs!B24,I17)+Inputs!B25+Inputs!B39)*(1-Inputs!B36)+Inputs!B38*Inputs!B36,I15)</f>
        <v>6.918670757304142E-2</v>
      </c>
      <c r="J104" s="11">
        <f>MAX((Inputs!B18+((1+(1-Inputs!B22)*(Inputs!B36/(1-Inputs!B36)))/(1+(1-Inputs!B22)*0.25))*Inputs!B19+IF(ISBLANK(J17),Inputs!B24,J17)+Inputs!B25+Inputs!B39)*(1-Inputs!B36)+Inputs!B38*Inputs!B36,J15)</f>
        <v>6.918670757304142E-2</v>
      </c>
    </row>
    <row r="105" spans="1:11" x14ac:dyDescent="0.25">
      <c r="A105" s="4" t="s">
        <v>165</v>
      </c>
      <c r="C105" s="6">
        <f t="shared" ref="C105:J105" si="44">SUM(C57:C61,C99:C103)</f>
        <v>10384.015117739913</v>
      </c>
      <c r="D105" s="6">
        <f t="shared" si="44"/>
        <v>2236.9734767052737</v>
      </c>
      <c r="E105" s="6">
        <f t="shared" si="44"/>
        <v>2045.2523258363794</v>
      </c>
      <c r="F105" s="6">
        <f t="shared" si="44"/>
        <v>199.36688141643734</v>
      </c>
      <c r="G105" s="6">
        <f t="shared" si="44"/>
        <v>129.19749273806454</v>
      </c>
      <c r="H105" s="6">
        <f t="shared" si="44"/>
        <v>0</v>
      </c>
      <c r="I105" s="6">
        <f t="shared" si="44"/>
        <v>0</v>
      </c>
      <c r="J105" s="6">
        <f t="shared" si="44"/>
        <v>0</v>
      </c>
    </row>
    <row r="106" spans="1:11" x14ac:dyDescent="0.25">
      <c r="A106" s="4" t="s">
        <v>166</v>
      </c>
      <c r="C106" s="6">
        <f t="shared" ref="C106:J106" si="45">IF(C5=0,0,C97*(1+C13)/(C104-C13))</f>
        <v>32449.468552991686</v>
      </c>
      <c r="D106" s="6">
        <f t="shared" si="45"/>
        <v>8137.1244400358273</v>
      </c>
      <c r="E106" s="6">
        <f t="shared" si="45"/>
        <v>8451.6624720398795</v>
      </c>
      <c r="F106" s="6">
        <f t="shared" si="45"/>
        <v>1069.132091994949</v>
      </c>
      <c r="G106" s="6">
        <f t="shared" si="45"/>
        <v>1051.7228715366682</v>
      </c>
      <c r="H106" s="6">
        <f t="shared" si="45"/>
        <v>0</v>
      </c>
      <c r="I106" s="6">
        <f t="shared" si="45"/>
        <v>0</v>
      </c>
      <c r="J106" s="6">
        <f t="shared" si="45"/>
        <v>0</v>
      </c>
    </row>
    <row r="107" spans="1:11" x14ac:dyDescent="0.25">
      <c r="A107" s="4" t="s">
        <v>167</v>
      </c>
      <c r="C107" s="6">
        <f t="shared" ref="C107:J107" si="46">C106/(((1+C16)*(1+C16+(C104-C16)*1/5)*(1+C16+(C104-C16)*2/5)*(1+C16+(C104-C16)*3/5)*(1+C16+(C104-C16)*4/5))*(1+C104)^5)</f>
        <v>16517.085032347859</v>
      </c>
      <c r="D107" s="6">
        <f t="shared" si="46"/>
        <v>4141.8729578077027</v>
      </c>
      <c r="E107" s="6">
        <f t="shared" si="46"/>
        <v>4259.6427879456942</v>
      </c>
      <c r="F107" s="6">
        <f t="shared" si="46"/>
        <v>544.19830159789956</v>
      </c>
      <c r="G107" s="6">
        <f t="shared" si="46"/>
        <v>535.33684446226937</v>
      </c>
      <c r="H107" s="6">
        <f t="shared" si="46"/>
        <v>0</v>
      </c>
      <c r="I107" s="6">
        <f t="shared" si="46"/>
        <v>0</v>
      </c>
      <c r="J107" s="6">
        <f t="shared" si="46"/>
        <v>0</v>
      </c>
    </row>
    <row r="109" spans="1:11" x14ac:dyDescent="0.25">
      <c r="A109" s="19" t="s">
        <v>168</v>
      </c>
      <c r="C109" s="20">
        <f t="shared" ref="C109:J109" si="47">C105+C107</f>
        <v>26901.100150087772</v>
      </c>
      <c r="D109" s="20">
        <f t="shared" si="47"/>
        <v>6378.846434512976</v>
      </c>
      <c r="E109" s="20">
        <f t="shared" si="47"/>
        <v>6304.8951137820732</v>
      </c>
      <c r="F109" s="20">
        <f t="shared" si="47"/>
        <v>743.56518301433687</v>
      </c>
      <c r="G109" s="20">
        <f t="shared" si="47"/>
        <v>664.53433720033388</v>
      </c>
      <c r="H109" s="20">
        <f t="shared" si="47"/>
        <v>0</v>
      </c>
      <c r="I109" s="20">
        <f t="shared" si="47"/>
        <v>0</v>
      </c>
      <c r="J109" s="20">
        <f t="shared" si="47"/>
        <v>0</v>
      </c>
      <c r="K109" s="20">
        <f>SUM(C109:J109)</f>
        <v>40992.941218597494</v>
      </c>
    </row>
    <row r="110" spans="1:11" x14ac:dyDescent="0.25">
      <c r="A110" s="4" t="s">
        <v>169</v>
      </c>
      <c r="K110" s="11">
        <f>IFERROR(SUMPRODUCT(C109:J109,C16:J16)/SUM(C109:J109),0)</f>
        <v>7.1979448039520444E-2</v>
      </c>
    </row>
    <row r="111" spans="1:11" x14ac:dyDescent="0.25">
      <c r="A111" s="4" t="s">
        <v>170</v>
      </c>
      <c r="K111" s="5">
        <v>7523</v>
      </c>
    </row>
    <row r="112" spans="1:11" x14ac:dyDescent="0.25">
      <c r="A112" s="4" t="s">
        <v>171</v>
      </c>
      <c r="K112" s="5">
        <v>396</v>
      </c>
    </row>
    <row r="113" spans="1:11" x14ac:dyDescent="0.25">
      <c r="A113" s="4" t="s">
        <v>172</v>
      </c>
      <c r="K113" s="5">
        <v>-5640.3581333136808</v>
      </c>
    </row>
    <row r="114" spans="1:11" x14ac:dyDescent="0.25">
      <c r="A114" s="4" t="s">
        <v>173</v>
      </c>
      <c r="K114" s="5">
        <v>0</v>
      </c>
    </row>
    <row r="115" spans="1:11" x14ac:dyDescent="0.25">
      <c r="A115" s="4" t="s">
        <v>174</v>
      </c>
      <c r="K115" s="5">
        <v>0</v>
      </c>
    </row>
    <row r="116" spans="1:11" x14ac:dyDescent="0.25">
      <c r="A116" s="4" t="s">
        <v>175</v>
      </c>
      <c r="K116" s="5">
        <v>0</v>
      </c>
    </row>
    <row r="117" spans="1:11" x14ac:dyDescent="0.25">
      <c r="A117" s="4" t="s">
        <v>176</v>
      </c>
      <c r="K117" s="5">
        <v>0</v>
      </c>
    </row>
    <row r="118" spans="1:11" x14ac:dyDescent="0.25">
      <c r="A118" s="4" t="s">
        <v>177</v>
      </c>
      <c r="K118" s="5">
        <v>0</v>
      </c>
    </row>
    <row r="119" spans="1:11" x14ac:dyDescent="0.25">
      <c r="A119" s="4" t="s">
        <v>178</v>
      </c>
      <c r="K119" s="20">
        <f>K109+K113+K114+K115+K116+K117+K118+K121-K111-K112</f>
        <v>26049.583085283812</v>
      </c>
    </row>
    <row r="120" spans="1:11" x14ac:dyDescent="0.25">
      <c r="A120" s="4" t="s">
        <v>179</v>
      </c>
      <c r="K120" s="6">
        <f>Inputs!B11</f>
        <v>1150</v>
      </c>
    </row>
    <row r="121" spans="1:11" x14ac:dyDescent="0.25">
      <c r="A121" s="4" t="s">
        <v>180</v>
      </c>
      <c r="K121" s="21">
        <f>-(Inputs!B41+Inputs!B42)</f>
        <v>-1384</v>
      </c>
    </row>
    <row r="122" spans="1:11" ht="15.75" customHeight="1" x14ac:dyDescent="0.25">
      <c r="A122" s="4" t="s">
        <v>181</v>
      </c>
      <c r="K122" s="22">
        <f>K119/K120</f>
        <v>22.651811378507663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/>
  </sheetViews>
  <sheetFormatPr baseColWidth="10" defaultColWidth="9.140625" defaultRowHeight="15" x14ac:dyDescent="0.25"/>
  <cols>
    <col min="1" max="1" width="28" customWidth="1"/>
    <col min="2" max="2" width="16" customWidth="1"/>
    <col min="3" max="3" width="14" customWidth="1"/>
    <col min="4" max="4" width="16" customWidth="1"/>
    <col min="5" max="5" width="50" customWidth="1"/>
  </cols>
  <sheetData>
    <row r="1" spans="1:5" ht="18.75" customHeight="1" x14ac:dyDescent="0.3">
      <c r="A1" s="1" t="s">
        <v>204</v>
      </c>
    </row>
    <row r="2" spans="1:5" x14ac:dyDescent="0.25">
      <c r="A2" s="2" t="s">
        <v>205</v>
      </c>
    </row>
    <row r="3" spans="1:5" x14ac:dyDescent="0.25">
      <c r="A3" s="2" t="s">
        <v>206</v>
      </c>
    </row>
    <row r="4" spans="1:5" x14ac:dyDescent="0.25">
      <c r="A4" s="23" t="s">
        <v>207</v>
      </c>
      <c r="B4" s="23" t="s">
        <v>208</v>
      </c>
      <c r="C4" s="23" t="s">
        <v>209</v>
      </c>
      <c r="D4" s="23" t="s">
        <v>210</v>
      </c>
      <c r="E4" s="23" t="s">
        <v>211</v>
      </c>
    </row>
    <row r="5" spans="1:5" ht="30" customHeight="1" x14ac:dyDescent="0.25">
      <c r="A5" s="24"/>
      <c r="B5" s="5"/>
      <c r="C5" s="7"/>
      <c r="D5" s="6" t="str">
        <f>IF(ISNUMBER(B5),B5*C5,"")</f>
        <v/>
      </c>
      <c r="E5" s="25"/>
    </row>
    <row r="6" spans="1:5" ht="30" customHeight="1" x14ac:dyDescent="0.25">
      <c r="A6" s="24"/>
      <c r="B6" s="5"/>
      <c r="C6" s="7"/>
      <c r="D6" s="6" t="str">
        <f>IF(ISNUMBER(B6),B6*C6,"")</f>
        <v/>
      </c>
      <c r="E6" s="25"/>
    </row>
    <row r="7" spans="1:5" ht="30" customHeight="1" x14ac:dyDescent="0.25">
      <c r="A7" s="24"/>
      <c r="B7" s="5"/>
      <c r="C7" s="7"/>
      <c r="D7" s="6" t="str">
        <f>IF(ISNUMBER(B7),B7*C7,"")</f>
        <v/>
      </c>
      <c r="E7" s="25"/>
    </row>
    <row r="8" spans="1:5" ht="30" customHeight="1" x14ac:dyDescent="0.25">
      <c r="A8" s="24"/>
      <c r="B8" s="5"/>
      <c r="C8" s="7"/>
      <c r="D8" s="6" t="str">
        <f>IF(ISNUMBER(B8),B8*C8,"")</f>
        <v/>
      </c>
      <c r="E8" s="25"/>
    </row>
    <row r="9" spans="1:5" ht="30" customHeight="1" x14ac:dyDescent="0.25">
      <c r="A9" s="24"/>
      <c r="B9" s="5"/>
      <c r="C9" s="7"/>
      <c r="D9" s="6" t="str">
        <f>IF(ISNUMBER(B9),B9*C9,"")</f>
        <v/>
      </c>
      <c r="E9" s="25"/>
    </row>
    <row r="11" spans="1:5" x14ac:dyDescent="0.25">
      <c r="C11" s="4" t="s">
        <v>212</v>
      </c>
      <c r="D11" s="20">
        <f>SUM(D5:D9)</f>
        <v>0</v>
      </c>
    </row>
    <row r="12" spans="1:5" x14ac:dyDescent="0.25">
      <c r="C12" s="4" t="s">
        <v>213</v>
      </c>
      <c r="D12" s="20">
        <f>IF(Inputs!B11&gt;0,D11/Inputs!B11,"")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"/>
  <sheetViews>
    <sheetView workbookViewId="0"/>
  </sheetViews>
  <sheetFormatPr baseColWidth="10" defaultColWidth="9.140625" defaultRowHeight="15" x14ac:dyDescent="0.25"/>
  <cols>
    <col min="1" max="1" width="30" customWidth="1"/>
    <col min="2" max="10" width="10" customWidth="1"/>
    <col min="11" max="11" width="8" customWidth="1"/>
    <col min="12" max="12" width="10" customWidth="1"/>
  </cols>
  <sheetData>
    <row r="1" spans="1:12" ht="18.75" customHeight="1" x14ac:dyDescent="0.3">
      <c r="A1" s="1" t="s">
        <v>214</v>
      </c>
    </row>
    <row r="2" spans="1:12" x14ac:dyDescent="0.25">
      <c r="A2" s="2" t="s">
        <v>215</v>
      </c>
    </row>
    <row r="4" spans="1:12" x14ac:dyDescent="0.25">
      <c r="A4" s="3" t="s">
        <v>216</v>
      </c>
    </row>
    <row r="5" spans="1:12" ht="30" customHeight="1" x14ac:dyDescent="0.25">
      <c r="A5" s="26" t="s">
        <v>217</v>
      </c>
      <c r="B5" s="26" t="s">
        <v>218</v>
      </c>
      <c r="C5" s="26" t="s">
        <v>219</v>
      </c>
      <c r="D5" s="26" t="s">
        <v>220</v>
      </c>
      <c r="E5" s="26" t="s">
        <v>221</v>
      </c>
      <c r="F5" s="26" t="s">
        <v>222</v>
      </c>
      <c r="G5" s="26" t="s">
        <v>223</v>
      </c>
      <c r="H5" s="26" t="s">
        <v>224</v>
      </c>
      <c r="I5" s="26" t="s">
        <v>225</v>
      </c>
      <c r="J5" s="26" t="s">
        <v>226</v>
      </c>
      <c r="K5" s="26" t="s">
        <v>227</v>
      </c>
      <c r="L5" s="26" t="s">
        <v>228</v>
      </c>
    </row>
    <row r="6" spans="1:12" x14ac:dyDescent="0.25">
      <c r="A6" s="36" t="s">
        <v>57</v>
      </c>
      <c r="B6" s="37">
        <v>7.2500000000000009E-2</v>
      </c>
      <c r="C6" s="37">
        <v>4.7500000000000001E-2</v>
      </c>
      <c r="D6" s="37">
        <v>7.4999999999999997E-3</v>
      </c>
      <c r="E6" s="37">
        <v>0.16490568818490911</v>
      </c>
      <c r="F6" s="37">
        <v>0.14099999999999999</v>
      </c>
      <c r="G6" s="37">
        <v>0.1170943118150909</v>
      </c>
      <c r="H6" s="37">
        <v>2.8984281364151519E-2</v>
      </c>
      <c r="I6" s="37">
        <v>2.5000000000000001E-2</v>
      </c>
      <c r="J6" s="37">
        <v>1.902357795377272E-2</v>
      </c>
      <c r="K6" s="38">
        <v>1.42</v>
      </c>
      <c r="L6" s="38">
        <v>3</v>
      </c>
    </row>
    <row r="7" spans="1:12" x14ac:dyDescent="0.25">
      <c r="A7" s="36" t="s">
        <v>58</v>
      </c>
      <c r="B7" s="37">
        <v>0.03</v>
      </c>
      <c r="C7" s="37">
        <v>2.5000000000000001E-2</v>
      </c>
      <c r="D7" s="37">
        <v>1.4999999999999999E-2</v>
      </c>
      <c r="E7" s="37">
        <v>6.1905688184909109E-2</v>
      </c>
      <c r="F7" s="37">
        <v>3.7999999999999999E-2</v>
      </c>
      <c r="G7" s="37">
        <v>1.4094311815090891E-2</v>
      </c>
      <c r="H7" s="37">
        <v>2.3984281364151521E-2</v>
      </c>
      <c r="I7" s="37">
        <v>0.02</v>
      </c>
      <c r="J7" s="37">
        <v>1.4023577953772719E-2</v>
      </c>
      <c r="K7" s="38">
        <v>1.42</v>
      </c>
      <c r="L7" s="38">
        <v>3</v>
      </c>
    </row>
    <row r="8" spans="1:12" x14ac:dyDescent="0.25">
      <c r="A8" s="36" t="s">
        <v>59</v>
      </c>
      <c r="B8" s="37">
        <v>7.0000000000000007E-2</v>
      </c>
      <c r="C8" s="37">
        <v>4.4999999999999998E-2</v>
      </c>
      <c r="D8" s="37">
        <v>1.4999999999999999E-2</v>
      </c>
      <c r="E8" s="37">
        <v>8.6905688184909111E-2</v>
      </c>
      <c r="F8" s="37">
        <v>6.3E-2</v>
      </c>
      <c r="G8" s="37">
        <v>3.909431181509089E-2</v>
      </c>
      <c r="H8" s="37">
        <v>2.8984281364151519E-2</v>
      </c>
      <c r="I8" s="37">
        <v>2.5000000000000001E-2</v>
      </c>
      <c r="J8" s="37">
        <v>1.902357795377272E-2</v>
      </c>
      <c r="K8" s="38">
        <v>1.57</v>
      </c>
      <c r="L8" s="38">
        <v>3</v>
      </c>
    </row>
    <row r="9" spans="1:12" x14ac:dyDescent="0.25">
      <c r="A9" s="36" t="s">
        <v>60</v>
      </c>
      <c r="B9" s="37">
        <v>4.4999999999999998E-2</v>
      </c>
      <c r="C9" s="37">
        <v>0.02</v>
      </c>
      <c r="D9" s="37">
        <v>-0.02</v>
      </c>
      <c r="E9" s="37">
        <v>5.9905688184909107E-2</v>
      </c>
      <c r="F9" s="37">
        <v>3.5999999999999997E-2</v>
      </c>
      <c r="G9" s="37">
        <v>1.2094311815090891E-2</v>
      </c>
      <c r="H9" s="37">
        <v>2.1984281364151519E-2</v>
      </c>
      <c r="I9" s="37">
        <v>1.7999999999999999E-2</v>
      </c>
      <c r="J9" s="37">
        <v>1.2023577953772719E-2</v>
      </c>
      <c r="K9" s="38">
        <v>1.42</v>
      </c>
      <c r="L9" s="38">
        <v>3</v>
      </c>
    </row>
    <row r="10" spans="1:12" x14ac:dyDescent="0.25">
      <c r="A10" s="36" t="s">
        <v>61</v>
      </c>
      <c r="B10" s="37">
        <v>4.2999999999999997E-2</v>
      </c>
      <c r="C10" s="37">
        <v>2.8000000000000001E-2</v>
      </c>
      <c r="D10" s="37">
        <v>3.4694469519536142E-18</v>
      </c>
      <c r="E10" s="37">
        <v>8.190568818490912E-2</v>
      </c>
      <c r="F10" s="37">
        <v>5.8000000000000003E-2</v>
      </c>
      <c r="G10" s="37">
        <v>3.4094311815090893E-2</v>
      </c>
      <c r="H10" s="37">
        <v>1.898428136415152E-2</v>
      </c>
      <c r="I10" s="37">
        <v>1.4999999999999999E-2</v>
      </c>
      <c r="J10" s="37">
        <v>9.0235779537727219E-3</v>
      </c>
      <c r="K10" s="38">
        <v>1.42</v>
      </c>
      <c r="L10" s="38">
        <v>3</v>
      </c>
    </row>
    <row r="11" spans="1:12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5" spans="1:12" x14ac:dyDescent="0.25">
      <c r="A15" s="3" t="s">
        <v>229</v>
      </c>
    </row>
    <row r="16" spans="1:12" x14ac:dyDescent="0.25">
      <c r="A16" s="23" t="s">
        <v>230</v>
      </c>
      <c r="B16" s="23" t="s">
        <v>231</v>
      </c>
      <c r="C16" s="23" t="s">
        <v>232</v>
      </c>
      <c r="D16" s="23" t="s">
        <v>233</v>
      </c>
      <c r="E16" s="23" t="s">
        <v>234</v>
      </c>
    </row>
    <row r="17" spans="1:5" x14ac:dyDescent="0.25">
      <c r="A17" s="4" t="s">
        <v>235</v>
      </c>
      <c r="B17" s="6">
        <f>'DCF Bull'!K122</f>
        <v>96.844481346147546</v>
      </c>
      <c r="C17" s="39">
        <v>0.2</v>
      </c>
      <c r="D17" s="28" t="s">
        <v>236</v>
      </c>
      <c r="E17" s="6">
        <f>MAX(B17,0)</f>
        <v>96.844481346147546</v>
      </c>
    </row>
    <row r="18" spans="1:5" x14ac:dyDescent="0.25">
      <c r="A18" s="4" t="s">
        <v>237</v>
      </c>
      <c r="B18" s="6">
        <f>'DCF Base'!K122</f>
        <v>58.050512166391364</v>
      </c>
      <c r="C18" s="39">
        <v>0.65</v>
      </c>
      <c r="D18" s="28" t="s">
        <v>238</v>
      </c>
      <c r="E18" s="6">
        <f>MAX(B18,0)</f>
        <v>58.050512166391364</v>
      </c>
    </row>
    <row r="19" spans="1:5" x14ac:dyDescent="0.25">
      <c r="A19" s="4" t="s">
        <v>239</v>
      </c>
      <c r="B19" s="6">
        <f>'DCF Bear'!K122</f>
        <v>22.651811378507663</v>
      </c>
      <c r="C19" s="39">
        <v>0.15</v>
      </c>
      <c r="D19" s="28" t="s">
        <v>240</v>
      </c>
      <c r="E19" s="6">
        <f>MAX(B19,0)</f>
        <v>22.651811378507663</v>
      </c>
    </row>
    <row r="20" spans="1:5" x14ac:dyDescent="0.25">
      <c r="A20" s="2" t="s">
        <v>241</v>
      </c>
    </row>
    <row r="21" spans="1:5" ht="15.75" customHeight="1" x14ac:dyDescent="0.25">
      <c r="A21" s="19" t="s">
        <v>242</v>
      </c>
      <c r="B21" s="22">
        <f>MAX(0,B17*C17+B18*C18+B19*C19)</f>
        <v>60.499500884160042</v>
      </c>
      <c r="D21" s="2" t="s">
        <v>243</v>
      </c>
      <c r="E21" s="6">
        <f>B17*C17+B18*C18+B19*C19</f>
        <v>60.499500884160042</v>
      </c>
    </row>
    <row r="22" spans="1:5" x14ac:dyDescent="0.25">
      <c r="A22" s="2" t="s">
        <v>244</v>
      </c>
      <c r="B22" s="40" t="s">
        <v>245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4"/>
  <sheetViews>
    <sheetView workbookViewId="0"/>
  </sheetViews>
  <sheetFormatPr baseColWidth="10" defaultColWidth="9.140625" defaultRowHeight="15" x14ac:dyDescent="0.25"/>
  <cols>
    <col min="1" max="1" width="34" customWidth="1"/>
    <col min="2" max="5" width="14" customWidth="1"/>
  </cols>
  <sheetData>
    <row r="1" spans="1:5" ht="17.25" customHeight="1" x14ac:dyDescent="0.3">
      <c r="A1" s="29" t="s">
        <v>246</v>
      </c>
    </row>
    <row r="2" spans="1:5" x14ac:dyDescent="0.25">
      <c r="A2" s="2" t="s">
        <v>247</v>
      </c>
    </row>
    <row r="4" spans="1:5" x14ac:dyDescent="0.25">
      <c r="A4" s="4" t="s">
        <v>248</v>
      </c>
      <c r="B4" s="41">
        <v>55.18</v>
      </c>
    </row>
    <row r="5" spans="1:5" x14ac:dyDescent="0.25">
      <c r="A5" s="4" t="s">
        <v>249</v>
      </c>
      <c r="B5" s="41">
        <v>60.5</v>
      </c>
    </row>
    <row r="6" spans="1:5" x14ac:dyDescent="0.25">
      <c r="A6" s="4" t="s">
        <v>250</v>
      </c>
      <c r="B6" s="30">
        <f>(B5-B4)/B4</f>
        <v>9.6411743385284535E-2</v>
      </c>
    </row>
    <row r="7" spans="1:5" x14ac:dyDescent="0.25">
      <c r="A7" s="4" t="s">
        <v>251</v>
      </c>
      <c r="B7" s="42" t="s">
        <v>252</v>
      </c>
    </row>
    <row r="8" spans="1:5" x14ac:dyDescent="0.25">
      <c r="A8" t="s">
        <v>253</v>
      </c>
      <c r="C8" s="42" t="s">
        <v>254</v>
      </c>
      <c r="D8" s="42" t="s">
        <v>254</v>
      </c>
      <c r="E8" s="42" t="s">
        <v>254</v>
      </c>
    </row>
    <row r="9" spans="1:5" x14ac:dyDescent="0.25">
      <c r="B9" s="32" t="s">
        <v>237</v>
      </c>
      <c r="C9" s="32" t="s">
        <v>255</v>
      </c>
      <c r="D9" s="32" t="s">
        <v>256</v>
      </c>
      <c r="E9" s="32" t="s">
        <v>257</v>
      </c>
    </row>
    <row r="10" spans="1:5" x14ac:dyDescent="0.25">
      <c r="A10" t="s">
        <v>258</v>
      </c>
      <c r="B10" s="43">
        <v>85609</v>
      </c>
      <c r="C10" s="6">
        <f>B10</f>
        <v>85609</v>
      </c>
      <c r="D10" s="6">
        <f>B10</f>
        <v>85609</v>
      </c>
      <c r="E10" s="6">
        <f t="shared" ref="E10:E15" si="0">B10</f>
        <v>85609</v>
      </c>
    </row>
    <row r="11" spans="1:5" x14ac:dyDescent="0.25">
      <c r="A11" t="s">
        <v>259</v>
      </c>
      <c r="B11" s="44">
        <v>3.5798362321718513E-2</v>
      </c>
      <c r="C11" s="45">
        <v>2.1191406249999999E-2</v>
      </c>
      <c r="D11" s="11">
        <f>B11</f>
        <v>3.5798362321718513E-2</v>
      </c>
      <c r="E11" s="11">
        <f t="shared" si="0"/>
        <v>3.5798362321718513E-2</v>
      </c>
    </row>
    <row r="12" spans="1:5" x14ac:dyDescent="0.25">
      <c r="A12" t="s">
        <v>260</v>
      </c>
      <c r="B12" s="44">
        <v>7.6599352871777493E-2</v>
      </c>
      <c r="C12" s="11">
        <f t="shared" ref="C12:C20" si="1">B12</f>
        <v>7.6599352871777493E-2</v>
      </c>
      <c r="D12" s="11">
        <f>B12</f>
        <v>7.6599352871777493E-2</v>
      </c>
      <c r="E12" s="11">
        <f t="shared" si="0"/>
        <v>7.6599352871777493E-2</v>
      </c>
    </row>
    <row r="13" spans="1:5" x14ac:dyDescent="0.25">
      <c r="A13" t="s">
        <v>261</v>
      </c>
      <c r="B13" s="44">
        <v>8.5113691317501655E-2</v>
      </c>
      <c r="C13" s="11">
        <f t="shared" si="1"/>
        <v>8.5113691317501655E-2</v>
      </c>
      <c r="D13" s="45">
        <v>7.9958343505859397E-2</v>
      </c>
      <c r="E13" s="11">
        <f t="shared" si="0"/>
        <v>8.5113691317501655E-2</v>
      </c>
    </row>
    <row r="14" spans="1:5" x14ac:dyDescent="0.25">
      <c r="A14" t="s">
        <v>262</v>
      </c>
      <c r="B14" s="44">
        <v>2.051901318786576E-2</v>
      </c>
      <c r="C14" s="11">
        <f t="shared" si="1"/>
        <v>2.051901318786576E-2</v>
      </c>
      <c r="D14" s="11">
        <f t="shared" ref="D14:D20" si="2">B14</f>
        <v>2.051901318786576E-2</v>
      </c>
      <c r="E14" s="11">
        <f t="shared" si="0"/>
        <v>2.051901318786576E-2</v>
      </c>
    </row>
    <row r="15" spans="1:5" x14ac:dyDescent="0.25">
      <c r="A15" t="s">
        <v>75</v>
      </c>
      <c r="B15" s="44">
        <v>2.1260404863974579E-2</v>
      </c>
      <c r="C15" s="11">
        <f t="shared" si="1"/>
        <v>2.1260404863974579E-2</v>
      </c>
      <c r="D15" s="11">
        <f t="shared" si="2"/>
        <v>2.1260404863974579E-2</v>
      </c>
      <c r="E15" s="11">
        <f t="shared" si="0"/>
        <v>2.1260404863974579E-2</v>
      </c>
    </row>
    <row r="16" spans="1:5" x14ac:dyDescent="0.25">
      <c r="A16" t="s">
        <v>263</v>
      </c>
      <c r="B16" s="44">
        <v>7.1960092570918344E-2</v>
      </c>
      <c r="C16" s="11">
        <f t="shared" si="1"/>
        <v>7.1960092570918344E-2</v>
      </c>
      <c r="D16" s="11">
        <f t="shared" si="2"/>
        <v>7.1960092570918344E-2</v>
      </c>
      <c r="E16" s="45">
        <v>7.6447448730468756E-2</v>
      </c>
    </row>
    <row r="17" spans="1:5" x14ac:dyDescent="0.25">
      <c r="A17" t="s">
        <v>264</v>
      </c>
      <c r="B17" s="44">
        <v>0.29299999999999998</v>
      </c>
      <c r="C17" s="11">
        <f t="shared" si="1"/>
        <v>0.29299999999999998</v>
      </c>
      <c r="D17" s="11">
        <f t="shared" si="2"/>
        <v>0.29299999999999998</v>
      </c>
      <c r="E17" s="11">
        <f>B17</f>
        <v>0.29299999999999998</v>
      </c>
    </row>
    <row r="18" spans="1:5" x14ac:dyDescent="0.25">
      <c r="A18" t="s">
        <v>265</v>
      </c>
      <c r="B18" s="43">
        <v>8390.5</v>
      </c>
      <c r="C18" s="6">
        <f t="shared" si="1"/>
        <v>8390.5</v>
      </c>
      <c r="D18" s="6">
        <f t="shared" si="2"/>
        <v>8390.5</v>
      </c>
      <c r="E18" s="6">
        <f>B18</f>
        <v>8390.5</v>
      </c>
    </row>
    <row r="19" spans="1:5" x14ac:dyDescent="0.25">
      <c r="A19" t="s">
        <v>266</v>
      </c>
      <c r="B19" s="43">
        <v>-12126.4</v>
      </c>
      <c r="C19" s="6">
        <f t="shared" si="1"/>
        <v>-12126.4</v>
      </c>
      <c r="D19" s="6">
        <f t="shared" si="2"/>
        <v>-12126.4</v>
      </c>
      <c r="E19" s="6">
        <f>B19</f>
        <v>-12126.4</v>
      </c>
    </row>
    <row r="20" spans="1:5" x14ac:dyDescent="0.25">
      <c r="A20" t="s">
        <v>267</v>
      </c>
      <c r="B20" s="41">
        <v>1150</v>
      </c>
      <c r="C20" s="6">
        <f t="shared" si="1"/>
        <v>1150</v>
      </c>
      <c r="D20" s="6">
        <f t="shared" si="2"/>
        <v>1150</v>
      </c>
      <c r="E20" s="6">
        <f>B20</f>
        <v>1150</v>
      </c>
    </row>
    <row r="22" spans="1:5" x14ac:dyDescent="0.25">
      <c r="A22" t="s">
        <v>268</v>
      </c>
      <c r="B22" s="6">
        <f>B10*(1+B11)^1</f>
        <v>88673.662000000011</v>
      </c>
      <c r="C22" s="6">
        <f>C10*(1+C11)^1</f>
        <v>87423.175097656247</v>
      </c>
      <c r="D22" s="6">
        <f>D10*(1+D11)^1</f>
        <v>88673.662000000011</v>
      </c>
      <c r="E22" s="6">
        <f>E10*(1+E11)^1</f>
        <v>88673.662000000011</v>
      </c>
    </row>
    <row r="23" spans="1:5" x14ac:dyDescent="0.25">
      <c r="A23" t="s">
        <v>269</v>
      </c>
      <c r="B23" s="6">
        <f>B10*(1+B11)^2</f>
        <v>91848.033880669624</v>
      </c>
      <c r="C23" s="6">
        <f>C10*(1+C11)^2</f>
        <v>89275.795116815571</v>
      </c>
      <c r="D23" s="6">
        <f>D10*(1+D11)^2</f>
        <v>91848.033880669624</v>
      </c>
      <c r="E23" s="6">
        <f>E10*(1+E11)^2</f>
        <v>91848.033880669624</v>
      </c>
    </row>
    <row r="24" spans="1:5" x14ac:dyDescent="0.25">
      <c r="A24" t="s">
        <v>270</v>
      </c>
      <c r="B24" s="6">
        <f>B10*(1+B11)^3</f>
        <v>95136.043076067319</v>
      </c>
      <c r="C24" s="6">
        <f>C10*(1+C11)^3</f>
        <v>91167.674759427769</v>
      </c>
      <c r="D24" s="6">
        <f>D10*(1+D11)^3</f>
        <v>95136.043076067319</v>
      </c>
      <c r="E24" s="6">
        <f>E10*(1+E11)^3</f>
        <v>95136.043076067319</v>
      </c>
    </row>
    <row r="25" spans="1:5" x14ac:dyDescent="0.25">
      <c r="A25" t="s">
        <v>271</v>
      </c>
      <c r="B25" s="6">
        <f>B10*(1+B11)^4</f>
        <v>98541.757615958995</v>
      </c>
      <c r="C25" s="6">
        <f>C10*(1+C11)^4</f>
        <v>93099.645992122663</v>
      </c>
      <c r="D25" s="6">
        <f>D10*(1+D11)^4</f>
        <v>98541.757615958995</v>
      </c>
      <c r="E25" s="6">
        <f>E10*(1+E11)^4</f>
        <v>98541.757615958995</v>
      </c>
    </row>
    <row r="26" spans="1:5" x14ac:dyDescent="0.25">
      <c r="A26" t="s">
        <v>272</v>
      </c>
      <c r="B26" s="6">
        <f>B10*(1+B11)^5</f>
        <v>102069.39115891408</v>
      </c>
      <c r="C26" s="6">
        <f>C10*(1+C11)^5</f>
        <v>95072.558412072918</v>
      </c>
      <c r="D26" s="6">
        <f>D10*(1+D11)^5</f>
        <v>102069.39115891408</v>
      </c>
      <c r="E26" s="6">
        <f>E10*(1+E11)^5</f>
        <v>102069.39115891408</v>
      </c>
    </row>
    <row r="27" spans="1:5" x14ac:dyDescent="0.25">
      <c r="A27" t="s">
        <v>273</v>
      </c>
      <c r="B27" s="6">
        <f>B26*(1+(B11+(B15-B11)*1/5))</f>
        <v>105426.53211229687</v>
      </c>
      <c r="C27" s="6">
        <f>C26*(1+(C11+(C15-C11)*1/5))</f>
        <v>97088.591595561506</v>
      </c>
      <c r="D27" s="6">
        <f>D26*(1+(D11+(D15-D11)*1/5))</f>
        <v>105426.53211229687</v>
      </c>
      <c r="E27" s="6">
        <f>E26*(1+(E11+(E15-E11)*1/5))</f>
        <v>105426.53211229687</v>
      </c>
    </row>
    <row r="28" spans="1:5" x14ac:dyDescent="0.25">
      <c r="A28" t="s">
        <v>274</v>
      </c>
      <c r="B28" s="6">
        <f>B27*(1+(B11+(B15-B11)*2/5))</f>
        <v>108587.55473166874</v>
      </c>
      <c r="C28" s="6">
        <f>C27*(1+(C11+(C15-C11)*2/5))</f>
        <v>99148.714973604525</v>
      </c>
      <c r="D28" s="6">
        <f>D27*(1+(D11+(D15-D11)*2/5))</f>
        <v>108587.55473166874</v>
      </c>
      <c r="E28" s="6">
        <f>E27*(1+(E11+(E15-E11)*2/5))</f>
        <v>108587.55473166874</v>
      </c>
    </row>
    <row r="29" spans="1:5" x14ac:dyDescent="0.25">
      <c r="A29" t="s">
        <v>275</v>
      </c>
      <c r="B29" s="6">
        <f>B28*(1+(B11+(B15-B11)*3/5))</f>
        <v>111527.62660890479</v>
      </c>
      <c r="C29" s="6">
        <f>C28*(1+(C11+(C15-C11)*3/5))</f>
        <v>101253.92034612196</v>
      </c>
      <c r="D29" s="6">
        <f>D28*(1+(D11+(D15-D11)*3/5))</f>
        <v>111527.62660890479</v>
      </c>
      <c r="E29" s="6">
        <f>E28*(1+(E11+(E15-E11)*3/5))</f>
        <v>111527.62660890479</v>
      </c>
    </row>
    <row r="30" spans="1:5" x14ac:dyDescent="0.25">
      <c r="A30" t="s">
        <v>276</v>
      </c>
      <c r="B30" s="6">
        <f>B29*(1+(B11+(B15-B11)*4/5))</f>
        <v>114223.02588232898</v>
      </c>
      <c r="C30" s="6">
        <f>C29*(1+(C11+(C15-C11)*4/5))</f>
        <v>103405.22241071248</v>
      </c>
      <c r="D30" s="6">
        <f>D29*(1+(D11+(D15-D11)*4/5))</f>
        <v>114223.02588232898</v>
      </c>
      <c r="E30" s="6">
        <f>E29*(1+(E11+(E15-E11)*4/5))</f>
        <v>114223.02588232898</v>
      </c>
    </row>
    <row r="31" spans="1:5" x14ac:dyDescent="0.25">
      <c r="A31" t="s">
        <v>277</v>
      </c>
      <c r="B31" s="6">
        <f>B30*(1+(B11+(B15-B11)*5/5))</f>
        <v>116651.45365737555</v>
      </c>
      <c r="C31" s="6">
        <f>C30*(1+(C11+(C15-C11)*5/5))</f>
        <v>105603.65930421356</v>
      </c>
      <c r="D31" s="6">
        <f>D30*(1+(D11+(D15-D11)*5/5))</f>
        <v>116651.45365737555</v>
      </c>
      <c r="E31" s="6">
        <f>E30*(1+(E11+(E15-E11)*5/5))</f>
        <v>116651.45365737555</v>
      </c>
    </row>
    <row r="33" spans="1:5" x14ac:dyDescent="0.25">
      <c r="A33" t="s">
        <v>278</v>
      </c>
      <c r="B33" s="6">
        <f>B22*(B12+(B13-B12)*0/4)*(1-B17)-B22*B14</f>
        <v>2982.6919640669539</v>
      </c>
      <c r="C33" s="6">
        <f>C22*(C12+(C13-C12)*0/4)*(1-C17)-C22*C14</f>
        <v>2940.6296746490234</v>
      </c>
      <c r="D33" s="6">
        <f>D22*(D12+(D13-D12)*0/4)*(1-D17)-D22*D14</f>
        <v>2982.6919640669539</v>
      </c>
      <c r="E33" s="6">
        <f>E22*(E12+(E13-E12)*0/4)*(1-E17)-E22*E14</f>
        <v>2982.6919640669539</v>
      </c>
    </row>
    <row r="34" spans="1:5" x14ac:dyDescent="0.25">
      <c r="A34" t="s">
        <v>279</v>
      </c>
      <c r="B34" s="6">
        <f>B23*(B12+(B13-B12)*1/4)*(1-B17)-B23*B14</f>
        <v>3227.6904139272738</v>
      </c>
      <c r="C34" s="6">
        <f>C23*(C12+(C13-C12)*1/4)*(1-C17)-C23*C14</f>
        <v>3137.2977288621755</v>
      </c>
      <c r="D34" s="6">
        <f>D23*(D12+(D13-D12)*1/4)*(1-D17)-D23*D14</f>
        <v>3143.9977758641389</v>
      </c>
      <c r="E34" s="6">
        <f>E23*(E12+(E13-E12)*1/4)*(1-E17)-E23*E14</f>
        <v>3227.6904139272738</v>
      </c>
    </row>
    <row r="35" spans="1:5" x14ac:dyDescent="0.25">
      <c r="A35" t="s">
        <v>280</v>
      </c>
      <c r="B35" s="6">
        <f>B24*(B12+(B13-B12)*2/4)*(1-B17)-B24*B14</f>
        <v>3486.4075627472803</v>
      </c>
      <c r="C35" s="6">
        <f>C24*(C12+(C13-C12)*2/4)*(1-C17)-C24*C14</f>
        <v>3340.9805630155738</v>
      </c>
      <c r="D35" s="6">
        <f>D24*(D12+(D13-D12)*2/4)*(1-D17)-D24*D14</f>
        <v>3313.0301678589212</v>
      </c>
      <c r="E35" s="6">
        <f>E24*(E12+(E13-E12)*2/4)*(1-E17)-E24*E14</f>
        <v>3486.4075627472803</v>
      </c>
    </row>
    <row r="36" spans="1:5" x14ac:dyDescent="0.25">
      <c r="A36" t="s">
        <v>281</v>
      </c>
      <c r="B36" s="6">
        <f>B25*(B12+(B13-B12)*3/4)*(1-B17)-B25*B14</f>
        <v>3759.511653352889</v>
      </c>
      <c r="C36" s="6">
        <f>C25*(C12+(C13-C12)*3/4)*(1-C17)-C25*C14</f>
        <v>3551.8871643682678</v>
      </c>
      <c r="D36" s="6">
        <f>D25*(D12+(D13-D12)*3/4)*(1-D17)-D25*D14</f>
        <v>3490.1356208194356</v>
      </c>
      <c r="E36" s="6">
        <f>E25*(E12+(E13-E12)*3/4)*(1-E17)-E25*E14</f>
        <v>3759.511653352889</v>
      </c>
    </row>
    <row r="37" spans="1:5" x14ac:dyDescent="0.25">
      <c r="A37" t="s">
        <v>282</v>
      </c>
      <c r="B37" s="6">
        <f>B26*(B12+(B13-B12)*4/4)*(1-B17)-B26*B14</f>
        <v>4047.7011917428713</v>
      </c>
      <c r="C37" s="6">
        <f>C26*(C12+(C13-C12)*4/4)*(1-C17)-C26*C14</f>
        <v>3770.2322274799144</v>
      </c>
      <c r="D37" s="6">
        <f>D26*(D12+(D13-D12)*4/4)*(1-D17)-D26*D14</f>
        <v>3675.6755206137091</v>
      </c>
      <c r="E37" s="6">
        <f>E26*(E12+(E13-E12)*4/4)*(1-E17)-E26*E14</f>
        <v>4047.7011917428713</v>
      </c>
    </row>
    <row r="38" spans="1:5" x14ac:dyDescent="0.25">
      <c r="A38" t="s">
        <v>283</v>
      </c>
      <c r="B38" s="6">
        <f>B27*B13*(1-B17)-B27*B14</f>
        <v>4180.8332040294918</v>
      </c>
      <c r="C38" s="6">
        <f>C27*C13*(1-C17)-C27*C14</f>
        <v>3850.1807784288949</v>
      </c>
      <c r="D38" s="6">
        <f>D27*D13*(1-D17)-D27*D14</f>
        <v>3796.5713218082792</v>
      </c>
      <c r="E38" s="6">
        <f>E27*E13*(1-E17)-E27*E14</f>
        <v>4180.8332040294918</v>
      </c>
    </row>
    <row r="39" spans="1:5" x14ac:dyDescent="0.25">
      <c r="A39" t="s">
        <v>284</v>
      </c>
      <c r="B39" s="6">
        <f>B28*B13*(1-B17)-B28*B14</f>
        <v>4306.1878757707691</v>
      </c>
      <c r="C39" s="6">
        <f>C28*C13*(1-C17)-C28*C14</f>
        <v>3931.8777862954298</v>
      </c>
      <c r="D39" s="6">
        <f>D28*D13*(1-D17)-D28*D14</f>
        <v>3910.4046006219219</v>
      </c>
      <c r="E39" s="6">
        <f>E28*E13*(1-E17)-E28*E14</f>
        <v>4306.1878757707691</v>
      </c>
    </row>
    <row r="40" spans="1:5" x14ac:dyDescent="0.25">
      <c r="A40" t="s">
        <v>285</v>
      </c>
      <c r="B40" s="6">
        <f>B29*B13*(1-B17)-B29*B14</f>
        <v>4422.7804438871963</v>
      </c>
      <c r="C40" s="6">
        <f>C29*C13*(1-C17)-C29*C14</f>
        <v>4015.3625822607087</v>
      </c>
      <c r="D40" s="6">
        <f>D29*D13*(1-D17)-D29*D14</f>
        <v>4016.2811039036551</v>
      </c>
      <c r="E40" s="6">
        <f>E29*E13*(1-E17)-E29*E14</f>
        <v>4422.7804438871963</v>
      </c>
    </row>
    <row r="41" spans="1:5" x14ac:dyDescent="0.25">
      <c r="A41" t="s">
        <v>286</v>
      </c>
      <c r="B41" s="6">
        <f>B30*B13*(1-B17)-B30*B14</f>
        <v>4529.6701855363426</v>
      </c>
      <c r="C41" s="6">
        <f>C30*C13*(1-C17)-C30*C14</f>
        <v>4100.6754055446709</v>
      </c>
      <c r="D41" s="6">
        <f>D30*D13*(1-D17)-D30*D14</f>
        <v>4113.3465709855564</v>
      </c>
      <c r="E41" s="6">
        <f>E30*E13*(1-E17)-E30*E14</f>
        <v>4529.6701855363426</v>
      </c>
    </row>
    <row r="42" spans="1:5" x14ac:dyDescent="0.25">
      <c r="A42" t="s">
        <v>287</v>
      </c>
      <c r="B42" s="6">
        <f>B31*B13*(1-B17)-B31*B14</f>
        <v>4625.9728075811199</v>
      </c>
      <c r="C42" s="6">
        <f>C31*C13*(1-C17)-C31*C14</f>
        <v>4187.8574248822943</v>
      </c>
      <c r="D42" s="6">
        <f>D31*D13*(1-D17)-D31*D14</f>
        <v>4200.797984430551</v>
      </c>
      <c r="E42" s="6">
        <f>E31*E13*(1-E17)-E31*E14</f>
        <v>4625.9728075811199</v>
      </c>
    </row>
    <row r="44" spans="1:5" x14ac:dyDescent="0.25">
      <c r="A44" t="s">
        <v>123</v>
      </c>
      <c r="B44" s="6">
        <f>B33/(1+B16)^1</f>
        <v>2782.4654898425019</v>
      </c>
      <c r="C44" s="6">
        <f>C33/(1+C16)^1</f>
        <v>2743.2268188234616</v>
      </c>
      <c r="D44" s="6">
        <f>D33/(1+D16)^1</f>
        <v>2782.4654898425019</v>
      </c>
      <c r="E44" s="6">
        <f>E33/(1+E16)^1</f>
        <v>2770.8663043278661</v>
      </c>
    </row>
    <row r="45" spans="1:5" x14ac:dyDescent="0.25">
      <c r="A45" t="s">
        <v>124</v>
      </c>
      <c r="B45" s="6">
        <f>B34/(1+B16)^2</f>
        <v>2808.8893878801837</v>
      </c>
      <c r="C45" s="6">
        <f>C34/(1+C16)^2</f>
        <v>2730.2253832018619</v>
      </c>
      <c r="D45" s="6">
        <f>D34/(1+D16)^2</f>
        <v>2736.0560820944534</v>
      </c>
      <c r="E45" s="6">
        <f>E34/(1+E16)^2</f>
        <v>2785.5195241197771</v>
      </c>
    </row>
    <row r="46" spans="1:5" x14ac:dyDescent="0.25">
      <c r="A46" t="s">
        <v>125</v>
      </c>
      <c r="B46" s="6">
        <f>B35/(1+B16)^3</f>
        <v>2830.3640693401517</v>
      </c>
      <c r="C46" s="6">
        <f>C35/(1+C16)^3</f>
        <v>2712.3023260285886</v>
      </c>
      <c r="D46" s="6">
        <f>D35/(1+D16)^3</f>
        <v>2689.6114062920242</v>
      </c>
      <c r="E46" s="6">
        <f>E35/(1+E16)^3</f>
        <v>2795.1148440933262</v>
      </c>
    </row>
    <row r="47" spans="1:5" x14ac:dyDescent="0.25">
      <c r="A47" t="s">
        <v>126</v>
      </c>
      <c r="B47" s="6">
        <f>B36/(1+B16)^4</f>
        <v>2847.1933797559936</v>
      </c>
      <c r="C47" s="6">
        <f>C36/(1+C16)^4</f>
        <v>2689.9529919026872</v>
      </c>
      <c r="D47" s="6">
        <f>D36/(1+D16)^4</f>
        <v>2643.1866556884752</v>
      </c>
      <c r="E47" s="6">
        <f>E36/(1+E16)^4</f>
        <v>2800.01336436785</v>
      </c>
    </row>
    <row r="48" spans="1:5" x14ac:dyDescent="0.25">
      <c r="A48" t="s">
        <v>127</v>
      </c>
      <c r="B48" s="6">
        <f>B37/(1+B16)^5</f>
        <v>2859.6662968756073</v>
      </c>
      <c r="C48" s="6">
        <f>C37/(1+C16)^5</f>
        <v>2663.6368451091575</v>
      </c>
      <c r="D48" s="6">
        <f>D37/(1+D16)^5</f>
        <v>2596.8333398700756</v>
      </c>
      <c r="E48" s="6">
        <f>E37/(1+E16)^5</f>
        <v>2800.556125656004</v>
      </c>
    </row>
    <row r="49" spans="1:5" x14ac:dyDescent="0.25">
      <c r="A49" t="s">
        <v>159</v>
      </c>
      <c r="B49" s="6">
        <f>B38/(1+B16)^6</f>
        <v>2755.4411271159261</v>
      </c>
      <c r="C49" s="6">
        <f>C38/(1+C16)^6</f>
        <v>2537.5196631832318</v>
      </c>
      <c r="D49" s="6">
        <f>D38/(1+D16)^6</f>
        <v>2502.187542917728</v>
      </c>
      <c r="E49" s="6">
        <f>E38/(1+E16)^6</f>
        <v>2687.2362220687269</v>
      </c>
    </row>
    <row r="50" spans="1:5" x14ac:dyDescent="0.25">
      <c r="A50" t="s">
        <v>160</v>
      </c>
      <c r="B50" s="6">
        <f>B39/(1+B16)^7</f>
        <v>2647.540736130059</v>
      </c>
      <c r="C50" s="6">
        <f>C39/(1+C16)^7</f>
        <v>2417.4065110521369</v>
      </c>
      <c r="D50" s="6">
        <f>D39/(1+D16)^7</f>
        <v>2404.2043156428344</v>
      </c>
      <c r="E50" s="6">
        <f>E39/(1+E16)^7</f>
        <v>2571.2431302656946</v>
      </c>
    </row>
    <row r="51" spans="1:5" x14ac:dyDescent="0.25">
      <c r="A51" t="s">
        <v>161</v>
      </c>
      <c r="B51" s="6">
        <f>B40/(1+B16)^8</f>
        <v>2536.6844127454792</v>
      </c>
      <c r="C51" s="6">
        <f>C40/(1+C16)^8</f>
        <v>2303.0100189621721</v>
      </c>
      <c r="D51" s="6">
        <f>D40/(1+D16)^8</f>
        <v>2303.536836778248</v>
      </c>
      <c r="E51" s="6">
        <f>E40/(1+E16)^8</f>
        <v>2453.3116341442769</v>
      </c>
    </row>
    <row r="52" spans="1:5" x14ac:dyDescent="0.25">
      <c r="A52" t="s">
        <v>162</v>
      </c>
      <c r="B52" s="6">
        <f>B41/(1+B16)^9</f>
        <v>2423.5892832138693</v>
      </c>
      <c r="C52" s="6">
        <f>C41/(1+C16)^9</f>
        <v>2194.0566442454983</v>
      </c>
      <c r="D52" s="6">
        <f>D41/(1+D16)^9</f>
        <v>2200.8363212441504</v>
      </c>
      <c r="E52" s="6">
        <f>E41/(1+E16)^9</f>
        <v>2334.1624932462159</v>
      </c>
    </row>
    <row r="53" spans="1:5" x14ac:dyDescent="0.25">
      <c r="A53" t="s">
        <v>163</v>
      </c>
      <c r="B53" s="6">
        <f>B42/(1+B16)^10</f>
        <v>2308.9626094781493</v>
      </c>
      <c r="C53" s="6">
        <f>C42/(1+C16)^10</f>
        <v>2090.2860025532264</v>
      </c>
      <c r="D53" s="6">
        <f>D42/(1+D16)^10</f>
        <v>2096.7450262841235</v>
      </c>
      <c r="E53" s="6">
        <f>E42/(1+E16)^10</f>
        <v>2214.4952228576562</v>
      </c>
    </row>
    <row r="54" spans="1:5" x14ac:dyDescent="0.25">
      <c r="A54" t="s">
        <v>165</v>
      </c>
      <c r="B54" s="6">
        <f>SUM(B44:B53)</f>
        <v>26800.796792377925</v>
      </c>
      <c r="C54" s="6">
        <f>SUM(C44:C53)</f>
        <v>25081.623205062024</v>
      </c>
      <c r="D54" s="6">
        <f>SUM(D44:D53)</f>
        <v>24955.663016654613</v>
      </c>
      <c r="E54" s="6">
        <f>SUM(E44:E53)</f>
        <v>26212.518865147391</v>
      </c>
    </row>
    <row r="55" spans="1:5" x14ac:dyDescent="0.25">
      <c r="A55" t="s">
        <v>166</v>
      </c>
      <c r="B55" s="6">
        <f>B42*(1+B15)/MAX(B16-B15,0.01)</f>
        <v>93182.484469485105</v>
      </c>
      <c r="C55" s="6">
        <f>C42*(1+C15)/MAX(C16-C15,0.01)</f>
        <v>84357.3829087341</v>
      </c>
      <c r="D55" s="6">
        <f>D42*(1+D15)/MAX(D16-D15,0.01)</f>
        <v>84618.048835510781</v>
      </c>
      <c r="E55" s="6">
        <f>E42*(1+E15)/MAX(E16-E15,0.01)</f>
        <v>85605.651822715576</v>
      </c>
    </row>
    <row r="56" spans="1:5" x14ac:dyDescent="0.25">
      <c r="A56" t="s">
        <v>167</v>
      </c>
      <c r="B56" s="6">
        <f>B55/(1+B16)^10</f>
        <v>46510.189628810644</v>
      </c>
      <c r="C56" s="6">
        <f>C55/(1+C16)^10</f>
        <v>42105.315156736913</v>
      </c>
      <c r="D56" s="6">
        <f>D55/(1+D16)^10</f>
        <v>42235.421385962036</v>
      </c>
      <c r="E56" s="6">
        <f>E55/(1+E16)^10</f>
        <v>40980.203493704852</v>
      </c>
    </row>
    <row r="57" spans="1:5" x14ac:dyDescent="0.25">
      <c r="A57" t="s">
        <v>288</v>
      </c>
      <c r="B57" s="6">
        <f>B54+B56</f>
        <v>73310.986421188572</v>
      </c>
      <c r="C57" s="6">
        <f>C54+C56</f>
        <v>67186.938361798937</v>
      </c>
      <c r="D57" s="6">
        <f>D54+D56</f>
        <v>67191.084402616645</v>
      </c>
      <c r="E57" s="6">
        <f>E54+E56</f>
        <v>67192.722358852247</v>
      </c>
    </row>
    <row r="58" spans="1:5" x14ac:dyDescent="0.25">
      <c r="A58" t="s">
        <v>289</v>
      </c>
      <c r="B58" s="6">
        <f>B57+B18+B19</f>
        <v>69575.086421188578</v>
      </c>
      <c r="C58" s="6">
        <f>C57+C18+C19</f>
        <v>63451.038361798936</v>
      </c>
      <c r="D58" s="6">
        <f>D57+D18+D19</f>
        <v>63455.184402616644</v>
      </c>
      <c r="E58" s="6">
        <f>E57+E18+E19</f>
        <v>63456.822358852245</v>
      </c>
    </row>
    <row r="59" spans="1:5" x14ac:dyDescent="0.25">
      <c r="A59" s="4" t="s">
        <v>290</v>
      </c>
      <c r="B59" s="33">
        <f>B58/B20</f>
        <v>60.500075148859636</v>
      </c>
      <c r="C59" s="33">
        <f>C58/C20</f>
        <v>55.174815966781686</v>
      </c>
      <c r="D59" s="33">
        <f>D58/D20</f>
        <v>55.178421219666646</v>
      </c>
      <c r="E59" s="33">
        <f>E58/E20</f>
        <v>55.179845529436733</v>
      </c>
    </row>
    <row r="60" spans="1:5" x14ac:dyDescent="0.25">
      <c r="A60" t="s">
        <v>291</v>
      </c>
      <c r="B60" s="6">
        <f>B59-B5</f>
        <v>7.5148859636442467E-5</v>
      </c>
      <c r="C60" s="6">
        <f>C59-B4</f>
        <v>-5.1840332183132887E-3</v>
      </c>
      <c r="D60" s="6">
        <f>D59-B4</f>
        <v>-1.5787803333537909E-3</v>
      </c>
      <c r="E60" s="6">
        <f>E59-B4</f>
        <v>-1.5447056326678421E-4</v>
      </c>
    </row>
    <row r="62" spans="1:5" x14ac:dyDescent="0.25">
      <c r="A62" s="3" t="s">
        <v>292</v>
      </c>
    </row>
    <row r="63" spans="1:5" x14ac:dyDescent="0.25">
      <c r="A63" t="s">
        <v>293</v>
      </c>
      <c r="B63" s="46">
        <v>0.998</v>
      </c>
    </row>
    <row r="64" spans="1:5" x14ac:dyDescent="0.25">
      <c r="A64" t="s">
        <v>294</v>
      </c>
      <c r="B64" s="47">
        <v>10.173999999999999</v>
      </c>
    </row>
    <row r="65" spans="1:3" x14ac:dyDescent="0.25">
      <c r="A65" t="s">
        <v>295</v>
      </c>
      <c r="B65" s="48">
        <v>16.804877999999999</v>
      </c>
    </row>
    <row r="66" spans="1:3" x14ac:dyDescent="0.25">
      <c r="A66" t="s">
        <v>296</v>
      </c>
      <c r="B66" s="48">
        <v>14.506676000000001</v>
      </c>
    </row>
    <row r="67" spans="1:3" x14ac:dyDescent="0.25">
      <c r="A67" t="s">
        <v>297</v>
      </c>
      <c r="B67" s="48">
        <v>2.7451565000000002</v>
      </c>
    </row>
    <row r="69" spans="1:3" x14ac:dyDescent="0.25">
      <c r="A69" s="4" t="s">
        <v>298</v>
      </c>
      <c r="B69" s="2" t="s">
        <v>299</v>
      </c>
      <c r="C69" s="2" t="s">
        <v>300</v>
      </c>
    </row>
    <row r="70" spans="1:3" x14ac:dyDescent="0.25">
      <c r="B70" s="49">
        <v>2025</v>
      </c>
      <c r="C70" s="50">
        <v>0.87</v>
      </c>
    </row>
    <row r="71" spans="1:3" x14ac:dyDescent="0.25">
      <c r="B71" s="49">
        <v>2024</v>
      </c>
      <c r="C71" s="50">
        <v>0.69</v>
      </c>
    </row>
    <row r="72" spans="1:3" x14ac:dyDescent="0.25">
      <c r="B72" s="49">
        <v>2023</v>
      </c>
      <c r="C72" s="50">
        <v>0.88</v>
      </c>
    </row>
    <row r="77" spans="1:3" x14ac:dyDescent="0.25">
      <c r="A77" s="3" t="s">
        <v>301</v>
      </c>
    </row>
    <row r="79" spans="1:3" x14ac:dyDescent="0.25">
      <c r="A79" t="s">
        <v>302</v>
      </c>
      <c r="B79" s="51">
        <v>87701</v>
      </c>
    </row>
    <row r="80" spans="1:3" x14ac:dyDescent="0.25">
      <c r="A80" t="s">
        <v>303</v>
      </c>
      <c r="B80" s="51">
        <v>93822</v>
      </c>
    </row>
    <row r="81" spans="1:2" x14ac:dyDescent="0.25">
      <c r="A81" t="s">
        <v>304</v>
      </c>
      <c r="B81" s="51">
        <v>8620</v>
      </c>
    </row>
    <row r="82" spans="1:2" x14ac:dyDescent="0.25">
      <c r="A82" t="s">
        <v>305</v>
      </c>
      <c r="B82" s="51">
        <v>11315</v>
      </c>
    </row>
    <row r="83" spans="1:2" x14ac:dyDescent="0.25">
      <c r="A83" s="4" t="s">
        <v>306</v>
      </c>
      <c r="B83" s="34">
        <f>IF(B81&gt;0,B79/B81,"")</f>
        <v>10.174129930394432</v>
      </c>
    </row>
    <row r="84" spans="1:2" x14ac:dyDescent="0.25">
      <c r="A84" s="4" t="s">
        <v>307</v>
      </c>
      <c r="B84" s="34">
        <f>IF(B81&gt;0,B80/B81,"")</f>
        <v>10.884222737819025</v>
      </c>
    </row>
    <row r="85" spans="1:2" x14ac:dyDescent="0.25">
      <c r="A85" s="4" t="s">
        <v>308</v>
      </c>
      <c r="B85" s="34">
        <f>IF(B82&gt;0,B79/B82,"")</f>
        <v>7.7508616880247461</v>
      </c>
    </row>
    <row r="86" spans="1:2" x14ac:dyDescent="0.25">
      <c r="A86" s="4" t="s">
        <v>309</v>
      </c>
      <c r="B86" s="34">
        <f>IF(B82&gt;0,B80/B82,"")</f>
        <v>8.2918250110472815</v>
      </c>
    </row>
    <row r="88" spans="1:2" x14ac:dyDescent="0.25">
      <c r="A88" s="4" t="s">
        <v>310</v>
      </c>
    </row>
    <row r="89" spans="1:2" x14ac:dyDescent="0.25">
      <c r="A89" t="s">
        <v>311</v>
      </c>
      <c r="B89" s="47">
        <v>5.5</v>
      </c>
    </row>
    <row r="90" spans="1:2" x14ac:dyDescent="0.25">
      <c r="A90" t="s">
        <v>312</v>
      </c>
      <c r="B90" s="47">
        <v>6.72</v>
      </c>
    </row>
    <row r="91" spans="1:2" x14ac:dyDescent="0.25">
      <c r="A91" t="s">
        <v>313</v>
      </c>
      <c r="B91" s="47">
        <v>6.81</v>
      </c>
    </row>
    <row r="93" spans="1:2" x14ac:dyDescent="0.25">
      <c r="A93" s="4" t="s">
        <v>314</v>
      </c>
      <c r="B93" s="52" t="s">
        <v>315</v>
      </c>
    </row>
    <row r="94" spans="1:2" x14ac:dyDescent="0.25">
      <c r="A94" t="s">
        <v>316</v>
      </c>
      <c r="B94" s="42" t="s">
        <v>317</v>
      </c>
    </row>
    <row r="96" spans="1:2" x14ac:dyDescent="0.25">
      <c r="A96" s="3" t="s">
        <v>318</v>
      </c>
    </row>
    <row r="97" spans="1:5" x14ac:dyDescent="0.25">
      <c r="A97" s="4" t="s">
        <v>319</v>
      </c>
      <c r="B97" s="53">
        <v>1.0209999999999999</v>
      </c>
    </row>
    <row r="98" spans="1:5" x14ac:dyDescent="0.25">
      <c r="A98" t="s">
        <v>320</v>
      </c>
      <c r="B98" s="47">
        <v>9.0399999999999991</v>
      </c>
      <c r="C98" s="47">
        <v>13.35</v>
      </c>
      <c r="D98" s="47">
        <v>16.25</v>
      </c>
    </row>
    <row r="99" spans="1:5" x14ac:dyDescent="0.25">
      <c r="A99" s="4" t="s">
        <v>321</v>
      </c>
      <c r="B99" s="4" t="s">
        <v>322</v>
      </c>
      <c r="C99" s="4" t="s">
        <v>323</v>
      </c>
      <c r="D99" s="4" t="s">
        <v>324</v>
      </c>
      <c r="E99" s="4" t="s">
        <v>325</v>
      </c>
    </row>
    <row r="100" spans="1:5" x14ac:dyDescent="0.25">
      <c r="A100" s="49" t="s">
        <v>326</v>
      </c>
      <c r="B100" s="54">
        <v>0.86299999999999999</v>
      </c>
      <c r="C100" s="54">
        <v>1.2210000000000001</v>
      </c>
      <c r="D100" s="54">
        <v>0.55300000000000005</v>
      </c>
      <c r="E100" s="55">
        <v>9.0410000000000004</v>
      </c>
    </row>
    <row r="101" spans="1:5" x14ac:dyDescent="0.25">
      <c r="A101" s="49" t="s">
        <v>327</v>
      </c>
      <c r="B101" s="54">
        <v>0.84399999999999997</v>
      </c>
      <c r="C101" s="54">
        <v>1.0529999999999999</v>
      </c>
      <c r="D101" s="54">
        <v>0.33100000000000002</v>
      </c>
      <c r="E101" s="55">
        <v>9.2110000000000003</v>
      </c>
    </row>
    <row r="102" spans="1:5" x14ac:dyDescent="0.25">
      <c r="A102" s="49" t="s">
        <v>328</v>
      </c>
      <c r="B102" s="54">
        <v>1.46</v>
      </c>
      <c r="C102" s="54">
        <v>1.49</v>
      </c>
      <c r="D102" s="54">
        <v>2.7E-2</v>
      </c>
      <c r="E102" s="55">
        <v>16.245999999999999</v>
      </c>
    </row>
    <row r="103" spans="1:5" x14ac:dyDescent="0.25">
      <c r="A103" s="49" t="s">
        <v>329</v>
      </c>
      <c r="B103" s="54">
        <v>1.0209999999999999</v>
      </c>
      <c r="C103" s="54">
        <v>1.2</v>
      </c>
      <c r="D103" s="54">
        <v>0.23300000000000001</v>
      </c>
      <c r="E103" s="55">
        <v>13.352</v>
      </c>
    </row>
    <row r="104" spans="1:5" x14ac:dyDescent="0.25">
      <c r="A104" s="49" t="s">
        <v>330</v>
      </c>
      <c r="B104" s="54">
        <v>1.099</v>
      </c>
      <c r="C104" s="54">
        <v>1.1439999999999999</v>
      </c>
      <c r="D104" s="54">
        <v>5.3999999999999999E-2</v>
      </c>
      <c r="E104" s="55">
        <v>16.219000000000001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workbookViewId="0"/>
  </sheetViews>
  <sheetFormatPr baseColWidth="10" defaultColWidth="9.140625" defaultRowHeight="15" x14ac:dyDescent="0.25"/>
  <cols>
    <col min="1" max="1" width="36" customWidth="1"/>
    <col min="2" max="2" width="18" customWidth="1"/>
  </cols>
  <sheetData>
    <row r="1" spans="1:2" ht="15.75" customHeight="1" x14ac:dyDescent="0.25">
      <c r="A1" s="35" t="s">
        <v>331</v>
      </c>
    </row>
    <row r="2" spans="1:2" x14ac:dyDescent="0.25">
      <c r="A2" s="2" t="s">
        <v>332</v>
      </c>
    </row>
    <row r="4" spans="1:2" x14ac:dyDescent="0.25">
      <c r="A4" s="4" t="s">
        <v>333</v>
      </c>
      <c r="B4" s="31" t="s">
        <v>334</v>
      </c>
    </row>
    <row r="5" spans="1:2" x14ac:dyDescent="0.25">
      <c r="A5" s="4" t="s">
        <v>335</v>
      </c>
      <c r="B5" s="31" t="s">
        <v>336</v>
      </c>
    </row>
    <row r="6" spans="1:2" x14ac:dyDescent="0.25">
      <c r="A6" s="4" t="s">
        <v>337</v>
      </c>
      <c r="B6" s="31" t="s">
        <v>338</v>
      </c>
    </row>
    <row r="7" spans="1:2" x14ac:dyDescent="0.25">
      <c r="A7" s="4" t="s">
        <v>339</v>
      </c>
      <c r="B7" s="31" t="s">
        <v>340</v>
      </c>
    </row>
    <row r="8" spans="1:2" x14ac:dyDescent="0.25">
      <c r="A8" s="4" t="s">
        <v>341</v>
      </c>
      <c r="B8" s="31" t="s">
        <v>342</v>
      </c>
    </row>
    <row r="9" spans="1:2" x14ac:dyDescent="0.25">
      <c r="A9" s="4" t="s">
        <v>343</v>
      </c>
      <c r="B9" s="31" t="s">
        <v>344</v>
      </c>
    </row>
    <row r="10" spans="1:2" x14ac:dyDescent="0.25">
      <c r="A10" s="4" t="s">
        <v>345</v>
      </c>
      <c r="B10" s="31" t="s">
        <v>238</v>
      </c>
    </row>
    <row r="11" spans="1:2" x14ac:dyDescent="0.25">
      <c r="A11" s="4" t="s">
        <v>346</v>
      </c>
      <c r="B11" s="31" t="s">
        <v>347</v>
      </c>
    </row>
    <row r="12" spans="1:2" x14ac:dyDescent="0.25">
      <c r="A12" s="4" t="s">
        <v>348</v>
      </c>
      <c r="B12" s="31" t="s">
        <v>349</v>
      </c>
    </row>
    <row r="13" spans="1:2" x14ac:dyDescent="0.25">
      <c r="A13" s="4" t="s">
        <v>350</v>
      </c>
      <c r="B13" s="31" t="s">
        <v>351</v>
      </c>
    </row>
    <row r="14" spans="1:2" x14ac:dyDescent="0.25">
      <c r="A14" s="4" t="s">
        <v>352</v>
      </c>
      <c r="B14" s="31" t="s">
        <v>236</v>
      </c>
    </row>
    <row r="15" spans="1:2" x14ac:dyDescent="0.25">
      <c r="A15" s="4" t="s">
        <v>353</v>
      </c>
      <c r="B15" s="31" t="s">
        <v>238</v>
      </c>
    </row>
    <row r="16" spans="1:2" x14ac:dyDescent="0.25">
      <c r="A16" s="4" t="s">
        <v>354</v>
      </c>
      <c r="B16" s="31" t="s">
        <v>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23</vt:i4>
      </vt:variant>
    </vt:vector>
  </HeadingPairs>
  <TitlesOfParts>
    <vt:vector size="31" baseType="lpstr">
      <vt:lpstr>Inputs</vt:lpstr>
      <vt:lpstr>DCF Base</vt:lpstr>
      <vt:lpstr>DCF Bull</vt:lpstr>
      <vt:lpstr>DCF Bear</vt:lpstr>
      <vt:lpstr>Adjustments</vt:lpstr>
      <vt:lpstr>Szenarien</vt:lpstr>
      <vt:lpstr>Markt-implizit</vt:lpstr>
      <vt:lpstr>Outputs</vt:lpstr>
      <vt:lpstr>OUT_EQUITY</vt:lpstr>
      <vt:lpstr>OUT_GROUP_EV</vt:lpstr>
      <vt:lpstr>OUT_MINORITY</vt:lpstr>
      <vt:lpstr>OUT_NET_DEBT</vt:lpstr>
      <vt:lpstr>OUT_PRICE_TARGET</vt:lpstr>
      <vt:lpstr>OUT_SEG_EV_1</vt:lpstr>
      <vt:lpstr>OUT_SEG_EV_2</vt:lpstr>
      <vt:lpstr>OUT_SEG_EV_3</vt:lpstr>
      <vt:lpstr>OUT_SEG_EV_4</vt:lpstr>
      <vt:lpstr>OUT_SEG_EV_5</vt:lpstr>
      <vt:lpstr>OUT_SEG_EV_6</vt:lpstr>
      <vt:lpstr>OUT_SEG_EV_7</vt:lpstr>
      <vt:lpstr>OUT_SEG_EV_8</vt:lpstr>
      <vt:lpstr>OUT_SEG_WACC_1</vt:lpstr>
      <vt:lpstr>OUT_SEG_WACC_2</vt:lpstr>
      <vt:lpstr>OUT_SEG_WACC_3</vt:lpstr>
      <vt:lpstr>OUT_SEG_WACC_4</vt:lpstr>
      <vt:lpstr>OUT_SEG_WACC_5</vt:lpstr>
      <vt:lpstr>OUT_SEG_WACC_6</vt:lpstr>
      <vt:lpstr>OUT_SEG_WACC_7</vt:lpstr>
      <vt:lpstr>OUT_SEG_WACC_8</vt:lpstr>
      <vt:lpstr>OUT_SHARES</vt:lpstr>
      <vt:lpstr>OUT_WACC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Jannick Wrage</cp:lastModifiedBy>
  <dcterms:created xsi:type="dcterms:W3CDTF">2026-08-18T12:19:17Z</dcterms:created>
  <dcterms:modified xsi:type="dcterms:W3CDTF">2026-08-19T10:49:57Z</dcterms:modified>
</cp:coreProperties>
</file>