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nni\Documents\Claude\Projects\FinSurf\output\SAP\2026-07-27_run1\"/>
    </mc:Choice>
  </mc:AlternateContent>
  <xr:revisionPtr revIDLastSave="0" documentId="13_ncr:1_{5782F2EA-1F87-43EC-8CF6-37FA70193C1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Inputs" sheetId="1" r:id="rId1"/>
    <sheet name="DCF Base" sheetId="2" r:id="rId2"/>
    <sheet name="DCF Bull" sheetId="3" r:id="rId3"/>
    <sheet name="DCF Bear" sheetId="4" r:id="rId4"/>
    <sheet name="Adjustments" sheetId="5" r:id="rId5"/>
    <sheet name="Szenarien" sheetId="6" r:id="rId6"/>
    <sheet name="Markt-implizit" sheetId="7" r:id="rId7"/>
    <sheet name="Outputs" sheetId="8" r:id="rId8"/>
  </sheets>
  <definedNames>
    <definedName name="OUT_EQUITY">'DCF Base'!$K$119</definedName>
    <definedName name="OUT_GROUP_EV">'DCF Base'!$K$109</definedName>
    <definedName name="OUT_MINORITY">Inputs!$B$15</definedName>
    <definedName name="OUT_NET_DEBT">Inputs!$B$14</definedName>
    <definedName name="OUT_PRICE_TARGET">'DCF Base'!$K$122</definedName>
    <definedName name="OUT_SEG_EV_1">'DCF Base'!$C$109</definedName>
    <definedName name="OUT_SEG_EV_2">'DCF Base'!$D$109</definedName>
    <definedName name="OUT_SEG_EV_3">'DCF Base'!$E$109</definedName>
    <definedName name="OUT_SEG_EV_4">'DCF Base'!$F$109</definedName>
    <definedName name="OUT_SEG_EV_5">'DCF Base'!$G$109</definedName>
    <definedName name="OUT_SEG_EV_6">'DCF Base'!$H$109</definedName>
    <definedName name="OUT_SEG_EV_7">'DCF Base'!$I$109</definedName>
    <definedName name="OUT_SEG_EV_8">'DCF Base'!$J$109</definedName>
    <definedName name="OUT_SEG_WACC_1">'DCF Base'!$C$16</definedName>
    <definedName name="OUT_SEG_WACC_2">'DCF Base'!$D$16</definedName>
    <definedName name="OUT_SEG_WACC_3">'DCF Base'!$E$16</definedName>
    <definedName name="OUT_SEG_WACC_4">'DCF Base'!$F$16</definedName>
    <definedName name="OUT_SEG_WACC_5">'DCF Base'!$G$16</definedName>
    <definedName name="OUT_SEG_WACC_6">'DCF Base'!$H$16</definedName>
    <definedName name="OUT_SEG_WACC_7">'DCF Base'!$I$16</definedName>
    <definedName name="OUT_SEG_WACC_8">'DCF Base'!$J$16</definedName>
    <definedName name="OUT_SHARES">Inputs!$B$11</definedName>
    <definedName name="OUT_WACC">'DCF Base'!$K$110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6" i="7" l="1"/>
  <c r="B85" i="7"/>
  <c r="B84" i="7"/>
  <c r="B83" i="7"/>
  <c r="B37" i="7"/>
  <c r="B48" i="7" s="1"/>
  <c r="B27" i="7"/>
  <c r="B38" i="7" s="1"/>
  <c r="B49" i="7" s="1"/>
  <c r="B26" i="7"/>
  <c r="B25" i="7"/>
  <c r="B36" i="7" s="1"/>
  <c r="B47" i="7" s="1"/>
  <c r="E24" i="7"/>
  <c r="D24" i="7"/>
  <c r="B24" i="7"/>
  <c r="B35" i="7" s="1"/>
  <c r="B46" i="7" s="1"/>
  <c r="E23" i="7"/>
  <c r="C23" i="7"/>
  <c r="B23" i="7"/>
  <c r="B34" i="7" s="1"/>
  <c r="B45" i="7" s="1"/>
  <c r="E22" i="7"/>
  <c r="D22" i="7"/>
  <c r="D33" i="7" s="1"/>
  <c r="D44" i="7" s="1"/>
  <c r="B22" i="7"/>
  <c r="B33" i="7" s="1"/>
  <c r="B44" i="7" s="1"/>
  <c r="E20" i="7"/>
  <c r="D20" i="7"/>
  <c r="C20" i="7"/>
  <c r="E19" i="7"/>
  <c r="D19" i="7"/>
  <c r="C19" i="7"/>
  <c r="E18" i="7"/>
  <c r="D18" i="7"/>
  <c r="C18" i="7"/>
  <c r="E17" i="7"/>
  <c r="D17" i="7"/>
  <c r="C17" i="7"/>
  <c r="D16" i="7"/>
  <c r="C16" i="7"/>
  <c r="E15" i="7"/>
  <c r="D15" i="7"/>
  <c r="C15" i="7"/>
  <c r="E14" i="7"/>
  <c r="D14" i="7"/>
  <c r="C14" i="7"/>
  <c r="E13" i="7"/>
  <c r="C13" i="7"/>
  <c r="E12" i="7"/>
  <c r="D12" i="7"/>
  <c r="C12" i="7"/>
  <c r="E11" i="7"/>
  <c r="D11" i="7"/>
  <c r="E10" i="7"/>
  <c r="E26" i="7" s="1"/>
  <c r="D10" i="7"/>
  <c r="D26" i="7" s="1"/>
  <c r="C10" i="7"/>
  <c r="C25" i="7" s="1"/>
  <c r="B6" i="7"/>
  <c r="D9" i="5"/>
  <c r="D8" i="5"/>
  <c r="D7" i="5"/>
  <c r="D6" i="5"/>
  <c r="D5" i="5"/>
  <c r="K120" i="4"/>
  <c r="J106" i="4"/>
  <c r="I106" i="4"/>
  <c r="H106" i="4"/>
  <c r="G106" i="4"/>
  <c r="F106" i="4"/>
  <c r="E106" i="4"/>
  <c r="J73" i="4"/>
  <c r="I73" i="4"/>
  <c r="H73" i="4"/>
  <c r="G73" i="4"/>
  <c r="F73" i="4"/>
  <c r="E73" i="4"/>
  <c r="D73" i="4"/>
  <c r="C73" i="4"/>
  <c r="J72" i="4"/>
  <c r="I72" i="4"/>
  <c r="H72" i="4"/>
  <c r="G72" i="4"/>
  <c r="F72" i="4"/>
  <c r="E72" i="4"/>
  <c r="D72" i="4"/>
  <c r="C72" i="4"/>
  <c r="J71" i="4"/>
  <c r="I71" i="4"/>
  <c r="H71" i="4"/>
  <c r="G71" i="4"/>
  <c r="F71" i="4"/>
  <c r="E71" i="4"/>
  <c r="D71" i="4"/>
  <c r="C71" i="4"/>
  <c r="J70" i="4"/>
  <c r="I70" i="4"/>
  <c r="H70" i="4"/>
  <c r="G70" i="4"/>
  <c r="F70" i="4"/>
  <c r="E70" i="4"/>
  <c r="E76" i="4" s="1"/>
  <c r="E82" i="4" s="1"/>
  <c r="D70" i="4"/>
  <c r="C70" i="4"/>
  <c r="J69" i="4"/>
  <c r="I69" i="4"/>
  <c r="H69" i="4"/>
  <c r="G69" i="4"/>
  <c r="F69" i="4"/>
  <c r="E69" i="4"/>
  <c r="D69" i="4"/>
  <c r="C69" i="4"/>
  <c r="D64" i="4"/>
  <c r="D76" i="4" s="1"/>
  <c r="D82" i="4" s="1"/>
  <c r="G63" i="4"/>
  <c r="G64" i="4" s="1"/>
  <c r="F63" i="4"/>
  <c r="E63" i="4"/>
  <c r="E64" i="4" s="1"/>
  <c r="E65" i="4" s="1"/>
  <c r="G49" i="4"/>
  <c r="F49" i="4"/>
  <c r="E49" i="4"/>
  <c r="D49" i="4"/>
  <c r="J48" i="4"/>
  <c r="H48" i="4"/>
  <c r="G48" i="4"/>
  <c r="F48" i="4"/>
  <c r="E48" i="4"/>
  <c r="D48" i="4"/>
  <c r="I46" i="4"/>
  <c r="E45" i="4"/>
  <c r="G43" i="4"/>
  <c r="G55" i="4" s="1"/>
  <c r="F37" i="4"/>
  <c r="F43" i="4" s="1"/>
  <c r="F55" i="4" s="1"/>
  <c r="E37" i="4"/>
  <c r="E43" i="4" s="1"/>
  <c r="F36" i="4"/>
  <c r="F42" i="4" s="1"/>
  <c r="I34" i="4"/>
  <c r="I40" i="4" s="1"/>
  <c r="I52" i="4" s="1"/>
  <c r="D34" i="4"/>
  <c r="D40" i="4" s="1"/>
  <c r="I33" i="4"/>
  <c r="I39" i="4" s="1"/>
  <c r="I51" i="4" s="1"/>
  <c r="H33" i="4"/>
  <c r="H39" i="4" s="1"/>
  <c r="H51" i="4" s="1"/>
  <c r="G33" i="4"/>
  <c r="G39" i="4" s="1"/>
  <c r="F33" i="4"/>
  <c r="F39" i="4" s="1"/>
  <c r="J31" i="4"/>
  <c r="I31" i="4"/>
  <c r="H31" i="4"/>
  <c r="G31" i="4"/>
  <c r="G37" i="4" s="1"/>
  <c r="F31" i="4"/>
  <c r="E31" i="4"/>
  <c r="D31" i="4"/>
  <c r="C31" i="4"/>
  <c r="J30" i="4"/>
  <c r="I30" i="4"/>
  <c r="H30" i="4"/>
  <c r="G30" i="4"/>
  <c r="F30" i="4"/>
  <c r="E30" i="4"/>
  <c r="D30" i="4"/>
  <c r="C30" i="4"/>
  <c r="C36" i="4" s="1"/>
  <c r="C42" i="4" s="1"/>
  <c r="J29" i="4"/>
  <c r="J35" i="4" s="1"/>
  <c r="J41" i="4" s="1"/>
  <c r="J53" i="4" s="1"/>
  <c r="I29" i="4"/>
  <c r="I35" i="4" s="1"/>
  <c r="I41" i="4" s="1"/>
  <c r="H29" i="4"/>
  <c r="H35" i="4" s="1"/>
  <c r="H41" i="4" s="1"/>
  <c r="G29" i="4"/>
  <c r="F29" i="4"/>
  <c r="E29" i="4"/>
  <c r="D29" i="4"/>
  <c r="C29" i="4"/>
  <c r="J28" i="4"/>
  <c r="I28" i="4"/>
  <c r="H28" i="4"/>
  <c r="G28" i="4"/>
  <c r="F28" i="4"/>
  <c r="E28" i="4"/>
  <c r="D28" i="4"/>
  <c r="C28" i="4"/>
  <c r="J27" i="4"/>
  <c r="I27" i="4"/>
  <c r="H27" i="4"/>
  <c r="G27" i="4"/>
  <c r="F27" i="4"/>
  <c r="E27" i="4"/>
  <c r="D27" i="4"/>
  <c r="D33" i="4" s="1"/>
  <c r="D39" i="4" s="1"/>
  <c r="D51" i="4" s="1"/>
  <c r="C27" i="4"/>
  <c r="C33" i="4" s="1"/>
  <c r="C39" i="4" s="1"/>
  <c r="J25" i="4"/>
  <c r="I25" i="4"/>
  <c r="H25" i="4"/>
  <c r="G25" i="4"/>
  <c r="F25" i="4"/>
  <c r="E25" i="4"/>
  <c r="D25" i="4"/>
  <c r="D63" i="4" s="1"/>
  <c r="D87" i="4" s="1"/>
  <c r="C25" i="4"/>
  <c r="J24" i="4"/>
  <c r="I24" i="4"/>
  <c r="H24" i="4"/>
  <c r="G24" i="4"/>
  <c r="G36" i="4" s="1"/>
  <c r="G42" i="4" s="1"/>
  <c r="F24" i="4"/>
  <c r="E24" i="4"/>
  <c r="D24" i="4"/>
  <c r="C24" i="4"/>
  <c r="C48" i="4" s="1"/>
  <c r="J23" i="4"/>
  <c r="J47" i="4" s="1"/>
  <c r="I23" i="4"/>
  <c r="I47" i="4" s="1"/>
  <c r="H23" i="4"/>
  <c r="H47" i="4" s="1"/>
  <c r="G23" i="4"/>
  <c r="G47" i="4" s="1"/>
  <c r="F23" i="4"/>
  <c r="F47" i="4" s="1"/>
  <c r="E23" i="4"/>
  <c r="D23" i="4"/>
  <c r="C23" i="4"/>
  <c r="J22" i="4"/>
  <c r="I22" i="4"/>
  <c r="H22" i="4"/>
  <c r="G22" i="4"/>
  <c r="F22" i="4"/>
  <c r="E22" i="4"/>
  <c r="D22" i="4"/>
  <c r="D46" i="4" s="1"/>
  <c r="C22" i="4"/>
  <c r="J21" i="4"/>
  <c r="J45" i="4" s="1"/>
  <c r="I21" i="4"/>
  <c r="I45" i="4" s="1"/>
  <c r="H21" i="4"/>
  <c r="H45" i="4" s="1"/>
  <c r="G21" i="4"/>
  <c r="G45" i="4" s="1"/>
  <c r="F21" i="4"/>
  <c r="F45" i="4" s="1"/>
  <c r="E21" i="4"/>
  <c r="E33" i="4" s="1"/>
  <c r="E39" i="4" s="1"/>
  <c r="E51" i="4" s="1"/>
  <c r="D21" i="4"/>
  <c r="D45" i="4" s="1"/>
  <c r="C21" i="4"/>
  <c r="C45" i="4" s="1"/>
  <c r="E16" i="4"/>
  <c r="D16" i="4"/>
  <c r="K120" i="3"/>
  <c r="J106" i="3"/>
  <c r="I106" i="3"/>
  <c r="H106" i="3"/>
  <c r="G106" i="3"/>
  <c r="F106" i="3"/>
  <c r="E106" i="3"/>
  <c r="J73" i="3"/>
  <c r="I73" i="3"/>
  <c r="H73" i="3"/>
  <c r="G73" i="3"/>
  <c r="F73" i="3"/>
  <c r="E73" i="3"/>
  <c r="D73" i="3"/>
  <c r="C73" i="3"/>
  <c r="J72" i="3"/>
  <c r="I72" i="3"/>
  <c r="H72" i="3"/>
  <c r="G72" i="3"/>
  <c r="F72" i="3"/>
  <c r="E72" i="3"/>
  <c r="D72" i="3"/>
  <c r="C72" i="3"/>
  <c r="J71" i="3"/>
  <c r="I71" i="3"/>
  <c r="H71" i="3"/>
  <c r="G71" i="3"/>
  <c r="F71" i="3"/>
  <c r="E71" i="3"/>
  <c r="D71" i="3"/>
  <c r="C71" i="3"/>
  <c r="J70" i="3"/>
  <c r="I70" i="3"/>
  <c r="H70" i="3"/>
  <c r="G70" i="3"/>
  <c r="F70" i="3"/>
  <c r="E70" i="3"/>
  <c r="D70" i="3"/>
  <c r="C70" i="3"/>
  <c r="J69" i="3"/>
  <c r="I69" i="3"/>
  <c r="H69" i="3"/>
  <c r="G69" i="3"/>
  <c r="F69" i="3"/>
  <c r="E69" i="3"/>
  <c r="D69" i="3"/>
  <c r="C69" i="3"/>
  <c r="D49" i="3"/>
  <c r="C49" i="3"/>
  <c r="E48" i="3"/>
  <c r="J47" i="3"/>
  <c r="I47" i="3"/>
  <c r="F47" i="3"/>
  <c r="D47" i="3"/>
  <c r="J45" i="3"/>
  <c r="I45" i="3"/>
  <c r="D34" i="3"/>
  <c r="D40" i="3" s="1"/>
  <c r="D52" i="3" s="1"/>
  <c r="J33" i="3"/>
  <c r="J39" i="3" s="1"/>
  <c r="C33" i="3"/>
  <c r="C39" i="3" s="1"/>
  <c r="J31" i="3"/>
  <c r="I31" i="3"/>
  <c r="H31" i="3"/>
  <c r="G31" i="3"/>
  <c r="F31" i="3"/>
  <c r="E31" i="3"/>
  <c r="D31" i="3"/>
  <c r="C31" i="3"/>
  <c r="C37" i="3" s="1"/>
  <c r="C43" i="3" s="1"/>
  <c r="C55" i="3" s="1"/>
  <c r="J30" i="3"/>
  <c r="I30" i="3"/>
  <c r="H30" i="3"/>
  <c r="G30" i="3"/>
  <c r="F30" i="3"/>
  <c r="E30" i="3"/>
  <c r="D30" i="3"/>
  <c r="C30" i="3"/>
  <c r="J29" i="3"/>
  <c r="I29" i="3"/>
  <c r="H29" i="3"/>
  <c r="H35" i="3" s="1"/>
  <c r="H41" i="3" s="1"/>
  <c r="G29" i="3"/>
  <c r="F29" i="3"/>
  <c r="E29" i="3"/>
  <c r="E35" i="3" s="1"/>
  <c r="E41" i="3" s="1"/>
  <c r="E53" i="3" s="1"/>
  <c r="D29" i="3"/>
  <c r="C29" i="3"/>
  <c r="J28" i="3"/>
  <c r="I28" i="3"/>
  <c r="H28" i="3"/>
  <c r="G28" i="3"/>
  <c r="F28" i="3"/>
  <c r="E28" i="3"/>
  <c r="D28" i="3"/>
  <c r="C28" i="3"/>
  <c r="J27" i="3"/>
  <c r="I27" i="3"/>
  <c r="H27" i="3"/>
  <c r="G27" i="3"/>
  <c r="F27" i="3"/>
  <c r="E27" i="3"/>
  <c r="D27" i="3"/>
  <c r="C27" i="3"/>
  <c r="J25" i="3"/>
  <c r="J63" i="3" s="1"/>
  <c r="J75" i="3" s="1"/>
  <c r="J81" i="3" s="1"/>
  <c r="I25" i="3"/>
  <c r="I63" i="3" s="1"/>
  <c r="H25" i="3"/>
  <c r="H63" i="3" s="1"/>
  <c r="G25" i="3"/>
  <c r="G63" i="3" s="1"/>
  <c r="G64" i="3" s="1"/>
  <c r="F25" i="3"/>
  <c r="E25" i="3"/>
  <c r="E63" i="3" s="1"/>
  <c r="D25" i="3"/>
  <c r="D63" i="3" s="1"/>
  <c r="C25" i="3"/>
  <c r="C63" i="3" s="1"/>
  <c r="J24" i="3"/>
  <c r="I24" i="3"/>
  <c r="H24" i="3"/>
  <c r="G24" i="3"/>
  <c r="F24" i="3"/>
  <c r="F36" i="3" s="1"/>
  <c r="F42" i="3" s="1"/>
  <c r="E24" i="3"/>
  <c r="E36" i="3" s="1"/>
  <c r="E42" i="3" s="1"/>
  <c r="E54" i="3" s="1"/>
  <c r="D24" i="3"/>
  <c r="C24" i="3"/>
  <c r="J23" i="3"/>
  <c r="I23" i="3"/>
  <c r="I35" i="3" s="1"/>
  <c r="I41" i="3" s="1"/>
  <c r="H23" i="3"/>
  <c r="H47" i="3" s="1"/>
  <c r="G23" i="3"/>
  <c r="G47" i="3" s="1"/>
  <c r="F23" i="3"/>
  <c r="F35" i="3" s="1"/>
  <c r="F41" i="3" s="1"/>
  <c r="F53" i="3" s="1"/>
  <c r="E23" i="3"/>
  <c r="E47" i="3" s="1"/>
  <c r="D23" i="3"/>
  <c r="D35" i="3" s="1"/>
  <c r="D41" i="3" s="1"/>
  <c r="D53" i="3" s="1"/>
  <c r="C23" i="3"/>
  <c r="C47" i="3" s="1"/>
  <c r="J22" i="3"/>
  <c r="J46" i="3" s="1"/>
  <c r="I22" i="3"/>
  <c r="I46" i="3" s="1"/>
  <c r="H22" i="3"/>
  <c r="H46" i="3" s="1"/>
  <c r="G22" i="3"/>
  <c r="G46" i="3" s="1"/>
  <c r="F22" i="3"/>
  <c r="E22" i="3"/>
  <c r="D22" i="3"/>
  <c r="D46" i="3" s="1"/>
  <c r="C22" i="3"/>
  <c r="J21" i="3"/>
  <c r="I21" i="3"/>
  <c r="H21" i="3"/>
  <c r="H33" i="3" s="1"/>
  <c r="H39" i="3" s="1"/>
  <c r="G21" i="3"/>
  <c r="G45" i="3" s="1"/>
  <c r="F21" i="3"/>
  <c r="E21" i="3"/>
  <c r="D21" i="3"/>
  <c r="C21" i="3"/>
  <c r="C45" i="3" s="1"/>
  <c r="K120" i="2"/>
  <c r="J106" i="2"/>
  <c r="I106" i="2"/>
  <c r="H106" i="2"/>
  <c r="G106" i="2"/>
  <c r="F106" i="2"/>
  <c r="E106" i="2"/>
  <c r="I87" i="2"/>
  <c r="I75" i="2"/>
  <c r="I81" i="2" s="1"/>
  <c r="I93" i="2" s="1"/>
  <c r="J73" i="2"/>
  <c r="I73" i="2"/>
  <c r="H73" i="2"/>
  <c r="G73" i="2"/>
  <c r="F73" i="2"/>
  <c r="E73" i="2"/>
  <c r="D73" i="2"/>
  <c r="C73" i="2"/>
  <c r="J72" i="2"/>
  <c r="I72" i="2"/>
  <c r="H72" i="2"/>
  <c r="G72" i="2"/>
  <c r="F72" i="2"/>
  <c r="E72" i="2"/>
  <c r="D72" i="2"/>
  <c r="C72" i="2"/>
  <c r="J71" i="2"/>
  <c r="I71" i="2"/>
  <c r="H71" i="2"/>
  <c r="G71" i="2"/>
  <c r="F71" i="2"/>
  <c r="E71" i="2"/>
  <c r="D71" i="2"/>
  <c r="C71" i="2"/>
  <c r="J70" i="2"/>
  <c r="I70" i="2"/>
  <c r="H70" i="2"/>
  <c r="G70" i="2"/>
  <c r="F70" i="2"/>
  <c r="E70" i="2"/>
  <c r="D70" i="2"/>
  <c r="C70" i="2"/>
  <c r="J69" i="2"/>
  <c r="I69" i="2"/>
  <c r="H69" i="2"/>
  <c r="G69" i="2"/>
  <c r="F69" i="2"/>
  <c r="E69" i="2"/>
  <c r="D69" i="2"/>
  <c r="C69" i="2"/>
  <c r="I63" i="2"/>
  <c r="I64" i="2" s="1"/>
  <c r="G54" i="2"/>
  <c r="D48" i="2"/>
  <c r="J47" i="2"/>
  <c r="E47" i="2"/>
  <c r="C47" i="2"/>
  <c r="I45" i="2"/>
  <c r="G45" i="2"/>
  <c r="D45" i="2"/>
  <c r="C45" i="2"/>
  <c r="G36" i="2"/>
  <c r="G42" i="2" s="1"/>
  <c r="F36" i="2"/>
  <c r="F42" i="2" s="1"/>
  <c r="F54" i="2" s="1"/>
  <c r="D33" i="2"/>
  <c r="D39" i="2" s="1"/>
  <c r="C33" i="2"/>
  <c r="C39" i="2" s="1"/>
  <c r="C51" i="2" s="1"/>
  <c r="J31" i="2"/>
  <c r="I31" i="2"/>
  <c r="I37" i="2" s="1"/>
  <c r="I43" i="2" s="1"/>
  <c r="H31" i="2"/>
  <c r="G31" i="2"/>
  <c r="F31" i="2"/>
  <c r="E31" i="2"/>
  <c r="D31" i="2"/>
  <c r="C31" i="2"/>
  <c r="J30" i="2"/>
  <c r="I30" i="2"/>
  <c r="H30" i="2"/>
  <c r="G30" i="2"/>
  <c r="F30" i="2"/>
  <c r="E30" i="2"/>
  <c r="E36" i="2" s="1"/>
  <c r="E42" i="2" s="1"/>
  <c r="D30" i="2"/>
  <c r="C30" i="2"/>
  <c r="J29" i="2"/>
  <c r="J35" i="2" s="1"/>
  <c r="J41" i="2" s="1"/>
  <c r="J53" i="2" s="1"/>
  <c r="I29" i="2"/>
  <c r="H29" i="2"/>
  <c r="G29" i="2"/>
  <c r="F29" i="2"/>
  <c r="E29" i="2"/>
  <c r="D29" i="2"/>
  <c r="D35" i="2" s="1"/>
  <c r="D41" i="2" s="1"/>
  <c r="D53" i="2" s="1"/>
  <c r="C29" i="2"/>
  <c r="C35" i="2" s="1"/>
  <c r="C41" i="2" s="1"/>
  <c r="C53" i="2" s="1"/>
  <c r="J28" i="2"/>
  <c r="I28" i="2"/>
  <c r="H28" i="2"/>
  <c r="G28" i="2"/>
  <c r="F28" i="2"/>
  <c r="E28" i="2"/>
  <c r="D28" i="2"/>
  <c r="C28" i="2"/>
  <c r="J27" i="2"/>
  <c r="I27" i="2"/>
  <c r="H27" i="2"/>
  <c r="G27" i="2"/>
  <c r="G33" i="2" s="1"/>
  <c r="G39" i="2" s="1"/>
  <c r="G51" i="2" s="1"/>
  <c r="F27" i="2"/>
  <c r="F33" i="2" s="1"/>
  <c r="F39" i="2" s="1"/>
  <c r="F51" i="2" s="1"/>
  <c r="E27" i="2"/>
  <c r="D27" i="2"/>
  <c r="C27" i="2"/>
  <c r="J25" i="2"/>
  <c r="I25" i="2"/>
  <c r="I49" i="2" s="1"/>
  <c r="H25" i="2"/>
  <c r="H49" i="2" s="1"/>
  <c r="G25" i="2"/>
  <c r="G49" i="2" s="1"/>
  <c r="F25" i="2"/>
  <c r="E25" i="2"/>
  <c r="E63" i="2" s="1"/>
  <c r="D25" i="2"/>
  <c r="C25" i="2"/>
  <c r="J24" i="2"/>
  <c r="J48" i="2" s="1"/>
  <c r="I24" i="2"/>
  <c r="I48" i="2" s="1"/>
  <c r="H24" i="2"/>
  <c r="H48" i="2" s="1"/>
  <c r="G24" i="2"/>
  <c r="G48" i="2" s="1"/>
  <c r="F24" i="2"/>
  <c r="F48" i="2" s="1"/>
  <c r="E24" i="2"/>
  <c r="E48" i="2" s="1"/>
  <c r="D24" i="2"/>
  <c r="C24" i="2"/>
  <c r="J23" i="2"/>
  <c r="I23" i="2"/>
  <c r="I35" i="2" s="1"/>
  <c r="I41" i="2" s="1"/>
  <c r="H23" i="2"/>
  <c r="H47" i="2" s="1"/>
  <c r="G23" i="2"/>
  <c r="G35" i="2" s="1"/>
  <c r="G41" i="2" s="1"/>
  <c r="F23" i="2"/>
  <c r="F47" i="2" s="1"/>
  <c r="E23" i="2"/>
  <c r="D23" i="2"/>
  <c r="D47" i="2" s="1"/>
  <c r="C23" i="2"/>
  <c r="J22" i="2"/>
  <c r="I22" i="2"/>
  <c r="H22" i="2"/>
  <c r="G22" i="2"/>
  <c r="F22" i="2"/>
  <c r="E22" i="2"/>
  <c r="E46" i="2" s="1"/>
  <c r="D22" i="2"/>
  <c r="D46" i="2" s="1"/>
  <c r="C22" i="2"/>
  <c r="C34" i="2" s="1"/>
  <c r="C40" i="2" s="1"/>
  <c r="J21" i="2"/>
  <c r="J45" i="2" s="1"/>
  <c r="I21" i="2"/>
  <c r="H21" i="2"/>
  <c r="G21" i="2"/>
  <c r="F21" i="2"/>
  <c r="F45" i="2" s="1"/>
  <c r="E21" i="2"/>
  <c r="D21" i="2"/>
  <c r="C21" i="2"/>
  <c r="B37" i="1"/>
  <c r="B38" i="1" s="1"/>
  <c r="F104" i="2" s="1"/>
  <c r="B30" i="1"/>
  <c r="B29" i="1"/>
  <c r="B28" i="1"/>
  <c r="B23" i="1"/>
  <c r="B26" i="1" s="1"/>
  <c r="B14" i="1"/>
  <c r="E64" i="3" l="1"/>
  <c r="E87" i="3"/>
  <c r="H87" i="3"/>
  <c r="H64" i="3"/>
  <c r="H76" i="3" s="1"/>
  <c r="H82" i="3" s="1"/>
  <c r="E33" i="7"/>
  <c r="E44" i="7" s="1"/>
  <c r="E34" i="7"/>
  <c r="E45" i="7" s="1"/>
  <c r="C46" i="2"/>
  <c r="G35" i="3"/>
  <c r="G41" i="3" s="1"/>
  <c r="G53" i="3" s="1"/>
  <c r="D25" i="7"/>
  <c r="C35" i="3"/>
  <c r="C41" i="3" s="1"/>
  <c r="C53" i="3" s="1"/>
  <c r="H35" i="2"/>
  <c r="H41" i="2" s="1"/>
  <c r="H53" i="2" s="1"/>
  <c r="G33" i="3"/>
  <c r="G39" i="3" s="1"/>
  <c r="G51" i="3" s="1"/>
  <c r="D36" i="4"/>
  <c r="D42" i="4" s="1"/>
  <c r="D54" i="4" s="1"/>
  <c r="J33" i="4"/>
  <c r="J39" i="4" s="1"/>
  <c r="J51" i="4" s="1"/>
  <c r="H36" i="4"/>
  <c r="H42" i="4" s="1"/>
  <c r="E35" i="2"/>
  <c r="E41" i="2" s="1"/>
  <c r="E53" i="2" s="1"/>
  <c r="J33" i="2"/>
  <c r="J39" i="2" s="1"/>
  <c r="J51" i="2" s="1"/>
  <c r="J57" i="2" s="1"/>
  <c r="G47" i="2"/>
  <c r="G53" i="2" s="1"/>
  <c r="D33" i="3"/>
  <c r="D39" i="3" s="1"/>
  <c r="D51" i="3" s="1"/>
  <c r="D57" i="3" s="1"/>
  <c r="J35" i="3"/>
  <c r="J41" i="3" s="1"/>
  <c r="J53" i="3" s="1"/>
  <c r="E49" i="3"/>
  <c r="E36" i="4"/>
  <c r="E42" i="4" s="1"/>
  <c r="D75" i="4"/>
  <c r="D81" i="4" s="1"/>
  <c r="D93" i="4" s="1"/>
  <c r="E25" i="7"/>
  <c r="I53" i="4"/>
  <c r="H34" i="2"/>
  <c r="H40" i="2" s="1"/>
  <c r="D51" i="2"/>
  <c r="I47" i="2"/>
  <c r="I53" i="2" s="1"/>
  <c r="E33" i="3"/>
  <c r="E39" i="3" s="1"/>
  <c r="H49" i="3"/>
  <c r="J36" i="4"/>
  <c r="J42" i="4" s="1"/>
  <c r="J54" i="4" s="1"/>
  <c r="E75" i="4"/>
  <c r="E81" i="4" s="1"/>
  <c r="E93" i="4" s="1"/>
  <c r="J37" i="3"/>
  <c r="J43" i="3" s="1"/>
  <c r="D37" i="2"/>
  <c r="D43" i="2" s="1"/>
  <c r="I34" i="2"/>
  <c r="I40" i="2" s="1"/>
  <c r="I46" i="2"/>
  <c r="H36" i="2"/>
  <c r="H42" i="2" s="1"/>
  <c r="H54" i="2" s="1"/>
  <c r="F34" i="2"/>
  <c r="F40" i="2" s="1"/>
  <c r="G37" i="2"/>
  <c r="G43" i="2" s="1"/>
  <c r="G55" i="2" s="1"/>
  <c r="G61" i="2" s="1"/>
  <c r="C51" i="4"/>
  <c r="D52" i="4"/>
  <c r="I55" i="2"/>
  <c r="I49" i="3"/>
  <c r="G54" i="4"/>
  <c r="G75" i="4"/>
  <c r="G81" i="4" s="1"/>
  <c r="E49" i="2"/>
  <c r="C34" i="3"/>
  <c r="C40" i="3" s="1"/>
  <c r="I36" i="2"/>
  <c r="I42" i="2" s="1"/>
  <c r="I54" i="2" s="1"/>
  <c r="J36" i="3"/>
  <c r="J42" i="3" s="1"/>
  <c r="H34" i="3"/>
  <c r="H40" i="3" s="1"/>
  <c r="H52" i="3" s="1"/>
  <c r="F37" i="3"/>
  <c r="F43" i="3" s="1"/>
  <c r="D45" i="3"/>
  <c r="E87" i="4"/>
  <c r="C54" i="4"/>
  <c r="I37" i="3"/>
  <c r="I43" i="3" s="1"/>
  <c r="I55" i="3" s="1"/>
  <c r="J49" i="3"/>
  <c r="H33" i="2"/>
  <c r="H39" i="2" s="1"/>
  <c r="E45" i="3"/>
  <c r="G87" i="4"/>
  <c r="G93" i="4" s="1"/>
  <c r="H53" i="4"/>
  <c r="H59" i="4" s="1"/>
  <c r="J51" i="3"/>
  <c r="D36" i="2"/>
  <c r="D42" i="2" s="1"/>
  <c r="D54" i="2" s="1"/>
  <c r="I33" i="2"/>
  <c r="I39" i="2" s="1"/>
  <c r="I51" i="2" s="1"/>
  <c r="E34" i="2"/>
  <c r="E40" i="2" s="1"/>
  <c r="E52" i="2" s="1"/>
  <c r="C37" i="2"/>
  <c r="C43" i="2" s="1"/>
  <c r="F34" i="3"/>
  <c r="F40" i="3" s="1"/>
  <c r="D75" i="3"/>
  <c r="D81" i="3" s="1"/>
  <c r="J34" i="3"/>
  <c r="J40" i="3" s="1"/>
  <c r="J52" i="3" s="1"/>
  <c r="H37" i="3"/>
  <c r="H43" i="3" s="1"/>
  <c r="H55" i="3" s="1"/>
  <c r="E88" i="4"/>
  <c r="E94" i="4" s="1"/>
  <c r="G88" i="3"/>
  <c r="G76" i="3"/>
  <c r="G82" i="3" s="1"/>
  <c r="G65" i="3"/>
  <c r="J37" i="4"/>
  <c r="J43" i="4" s="1"/>
  <c r="J49" i="4"/>
  <c r="J63" i="4"/>
  <c r="E75" i="2"/>
  <c r="E81" i="2" s="1"/>
  <c r="E87" i="2"/>
  <c r="J46" i="2"/>
  <c r="J34" i="2"/>
  <c r="J40" i="2" s="1"/>
  <c r="J52" i="2" s="1"/>
  <c r="G57" i="3"/>
  <c r="G60" i="4"/>
  <c r="E54" i="2"/>
  <c r="E60" i="2" s="1"/>
  <c r="I53" i="3"/>
  <c r="I65" i="2"/>
  <c r="I88" i="2"/>
  <c r="I76" i="2"/>
  <c r="I82" i="2" s="1"/>
  <c r="I94" i="2" s="1"/>
  <c r="E47" i="4"/>
  <c r="E35" i="4"/>
  <c r="E41" i="4" s="1"/>
  <c r="H63" i="2"/>
  <c r="H37" i="2"/>
  <c r="H43" i="2" s="1"/>
  <c r="H55" i="2" s="1"/>
  <c r="H16" i="3"/>
  <c r="E16" i="2"/>
  <c r="J16" i="4"/>
  <c r="C16" i="4"/>
  <c r="C16" i="3"/>
  <c r="I16" i="4"/>
  <c r="I107" i="4" s="1"/>
  <c r="E16" i="3"/>
  <c r="E59" i="3" s="1"/>
  <c r="D16" i="3"/>
  <c r="D58" i="3" s="1"/>
  <c r="G16" i="2"/>
  <c r="G57" i="2" s="1"/>
  <c r="J16" i="3"/>
  <c r="G16" i="3"/>
  <c r="I16" i="3"/>
  <c r="F16" i="3"/>
  <c r="F107" i="3" s="1"/>
  <c r="J16" i="2"/>
  <c r="J107" i="2" s="1"/>
  <c r="F16" i="2"/>
  <c r="F107" i="2" s="1"/>
  <c r="I16" i="2"/>
  <c r="H16" i="4"/>
  <c r="H16" i="2"/>
  <c r="G16" i="4"/>
  <c r="F16" i="4"/>
  <c r="D16" i="2"/>
  <c r="D59" i="2" s="1"/>
  <c r="D57" i="4"/>
  <c r="B31" i="1"/>
  <c r="E76" i="3"/>
  <c r="E82" i="3" s="1"/>
  <c r="E88" i="3"/>
  <c r="E65" i="3"/>
  <c r="C52" i="2"/>
  <c r="H46" i="2"/>
  <c r="H52" i="2" s="1"/>
  <c r="H53" i="3"/>
  <c r="E51" i="3"/>
  <c r="C36" i="3"/>
  <c r="C42" i="3" s="1"/>
  <c r="C48" i="3"/>
  <c r="H88" i="3"/>
  <c r="E75" i="3"/>
  <c r="E81" i="3" s="1"/>
  <c r="F45" i="3"/>
  <c r="F33" i="3"/>
  <c r="F39" i="3" s="1"/>
  <c r="F51" i="3" s="1"/>
  <c r="D36" i="3"/>
  <c r="D42" i="3" s="1"/>
  <c r="D48" i="3"/>
  <c r="H65" i="3"/>
  <c r="D94" i="4"/>
  <c r="F64" i="4"/>
  <c r="F87" i="4"/>
  <c r="F75" i="4"/>
  <c r="F81" i="4" s="1"/>
  <c r="F93" i="4" s="1"/>
  <c r="F52" i="3"/>
  <c r="D35" i="4"/>
  <c r="D41" i="4" s="1"/>
  <c r="D47" i="4"/>
  <c r="H51" i="2"/>
  <c r="H57" i="2" s="1"/>
  <c r="H48" i="3"/>
  <c r="H36" i="3"/>
  <c r="H42" i="3" s="1"/>
  <c r="H54" i="3" s="1"/>
  <c r="G65" i="4"/>
  <c r="G88" i="4"/>
  <c r="G76" i="4"/>
  <c r="G82" i="4" s="1"/>
  <c r="D49" i="2"/>
  <c r="D63" i="2"/>
  <c r="F49" i="2"/>
  <c r="F63" i="2"/>
  <c r="F37" i="2"/>
  <c r="F43" i="2" s="1"/>
  <c r="I104" i="2"/>
  <c r="I61" i="2" s="1"/>
  <c r="G104" i="4"/>
  <c r="G61" i="4" s="1"/>
  <c r="J104" i="4"/>
  <c r="J60" i="4" s="1"/>
  <c r="F104" i="3"/>
  <c r="I104" i="4"/>
  <c r="E104" i="3"/>
  <c r="H104" i="4"/>
  <c r="D104" i="3"/>
  <c r="F104" i="4"/>
  <c r="C104" i="3"/>
  <c r="C104" i="4"/>
  <c r="J104" i="3"/>
  <c r="J58" i="3" s="1"/>
  <c r="H104" i="3"/>
  <c r="G104" i="3"/>
  <c r="G107" i="3" s="1"/>
  <c r="H104" i="2"/>
  <c r="H59" i="2" s="1"/>
  <c r="E104" i="4"/>
  <c r="E107" i="4" s="1"/>
  <c r="D104" i="4"/>
  <c r="I104" i="3"/>
  <c r="J104" i="2"/>
  <c r="E104" i="2"/>
  <c r="C16" i="2"/>
  <c r="C59" i="2" s="1"/>
  <c r="E37" i="2"/>
  <c r="E43" i="2" s="1"/>
  <c r="E55" i="2" s="1"/>
  <c r="G104" i="2"/>
  <c r="E57" i="4"/>
  <c r="G46" i="2"/>
  <c r="G34" i="2"/>
  <c r="G40" i="2" s="1"/>
  <c r="C104" i="2"/>
  <c r="C57" i="2"/>
  <c r="G48" i="3"/>
  <c r="G36" i="3"/>
  <c r="G42" i="3" s="1"/>
  <c r="G54" i="3" s="1"/>
  <c r="F51" i="4"/>
  <c r="F57" i="4" s="1"/>
  <c r="I59" i="4"/>
  <c r="C61" i="3"/>
  <c r="G87" i="3"/>
  <c r="G75" i="3"/>
  <c r="G81" i="3" s="1"/>
  <c r="H54" i="4"/>
  <c r="H60" i="4" s="1"/>
  <c r="F46" i="2"/>
  <c r="F60" i="2"/>
  <c r="D104" i="2"/>
  <c r="I33" i="3"/>
  <c r="I39" i="3" s="1"/>
  <c r="I51" i="3" s="1"/>
  <c r="E64" i="2"/>
  <c r="E34" i="3"/>
  <c r="E40" i="3" s="1"/>
  <c r="C87" i="3"/>
  <c r="C64" i="3"/>
  <c r="C75" i="3"/>
  <c r="C81" i="3" s="1"/>
  <c r="J34" i="4"/>
  <c r="J40" i="4" s="1"/>
  <c r="J46" i="4"/>
  <c r="H37" i="4"/>
  <c r="H43" i="4" s="1"/>
  <c r="H63" i="4"/>
  <c r="H49" i="4"/>
  <c r="H45" i="3"/>
  <c r="H51" i="3" s="1"/>
  <c r="G49" i="3"/>
  <c r="C47" i="4"/>
  <c r="C35" i="4"/>
  <c r="C41" i="4" s="1"/>
  <c r="C53" i="4" s="1"/>
  <c r="I63" i="4"/>
  <c r="I49" i="4"/>
  <c r="I37" i="4"/>
  <c r="I43" i="4" s="1"/>
  <c r="I55" i="4" s="1"/>
  <c r="G51" i="4"/>
  <c r="D11" i="5"/>
  <c r="D12" i="5" s="1"/>
  <c r="C34" i="7"/>
  <c r="C45" i="7" s="1"/>
  <c r="E35" i="7"/>
  <c r="E46" i="7" s="1"/>
  <c r="I48" i="3"/>
  <c r="I36" i="3"/>
  <c r="I42" i="3" s="1"/>
  <c r="I54" i="3" s="1"/>
  <c r="C46" i="3"/>
  <c r="J59" i="4"/>
  <c r="C60" i="4"/>
  <c r="F35" i="2"/>
  <c r="F41" i="2" s="1"/>
  <c r="F53" i="2" s="1"/>
  <c r="F59" i="2" s="1"/>
  <c r="E46" i="3"/>
  <c r="F46" i="3"/>
  <c r="F35" i="4"/>
  <c r="F41" i="4" s="1"/>
  <c r="F53" i="4" s="1"/>
  <c r="C36" i="7"/>
  <c r="C47" i="7" s="1"/>
  <c r="G35" i="4"/>
  <c r="G41" i="4" s="1"/>
  <c r="G53" i="4" s="1"/>
  <c r="D36" i="7"/>
  <c r="D47" i="7" s="1"/>
  <c r="J63" i="2"/>
  <c r="J49" i="2"/>
  <c r="J37" i="2"/>
  <c r="J43" i="2" s="1"/>
  <c r="D37" i="3"/>
  <c r="D43" i="3" s="1"/>
  <c r="D55" i="3" s="1"/>
  <c r="F54" i="4"/>
  <c r="E33" i="2"/>
  <c r="E39" i="2" s="1"/>
  <c r="G37" i="3"/>
  <c r="G43" i="3" s="1"/>
  <c r="E54" i="4"/>
  <c r="E55" i="4"/>
  <c r="C36" i="2"/>
  <c r="C42" i="2" s="1"/>
  <c r="C48" i="2"/>
  <c r="D87" i="3"/>
  <c r="D93" i="3" s="1"/>
  <c r="E89" i="4"/>
  <c r="E77" i="4"/>
  <c r="E83" i="4" s="1"/>
  <c r="E95" i="4" s="1"/>
  <c r="E66" i="4"/>
  <c r="J55" i="3"/>
  <c r="C51" i="3"/>
  <c r="I75" i="3"/>
  <c r="I81" i="3" s="1"/>
  <c r="I64" i="3"/>
  <c r="I87" i="3"/>
  <c r="H75" i="3"/>
  <c r="H81" i="3" s="1"/>
  <c r="H93" i="3" s="1"/>
  <c r="E45" i="2"/>
  <c r="G63" i="2"/>
  <c r="E46" i="4"/>
  <c r="E34" i="4"/>
  <c r="E40" i="4" s="1"/>
  <c r="E36" i="7"/>
  <c r="E47" i="7" s="1"/>
  <c r="F48" i="3"/>
  <c r="F54" i="3" s="1"/>
  <c r="C63" i="4"/>
  <c r="C37" i="4"/>
  <c r="C43" i="4" s="1"/>
  <c r="C49" i="4"/>
  <c r="D88" i="4"/>
  <c r="D65" i="4"/>
  <c r="C63" i="2"/>
  <c r="C49" i="2"/>
  <c r="C55" i="2" s="1"/>
  <c r="H45" i="2"/>
  <c r="I34" i="3"/>
  <c r="I40" i="3" s="1"/>
  <c r="I52" i="3" s="1"/>
  <c r="J48" i="3"/>
  <c r="J54" i="3" s="1"/>
  <c r="D64" i="3"/>
  <c r="D35" i="7"/>
  <c r="D46" i="7" s="1"/>
  <c r="C34" i="4"/>
  <c r="C40" i="4" s="1"/>
  <c r="C46" i="4"/>
  <c r="I36" i="4"/>
  <c r="I42" i="4" s="1"/>
  <c r="I48" i="4"/>
  <c r="G34" i="3"/>
  <c r="G40" i="3" s="1"/>
  <c r="G52" i="3" s="1"/>
  <c r="E37" i="3"/>
  <c r="E43" i="3" s="1"/>
  <c r="E55" i="3" s="1"/>
  <c r="J87" i="3"/>
  <c r="J93" i="3" s="1"/>
  <c r="D37" i="7"/>
  <c r="D48" i="7" s="1"/>
  <c r="F46" i="4"/>
  <c r="F34" i="4"/>
  <c r="F40" i="4" s="1"/>
  <c r="J64" i="3"/>
  <c r="H46" i="4"/>
  <c r="H34" i="4"/>
  <c r="H40" i="4" s="1"/>
  <c r="G46" i="4"/>
  <c r="G34" i="4"/>
  <c r="G40" i="4" s="1"/>
  <c r="G52" i="4" s="1"/>
  <c r="D37" i="4"/>
  <c r="D43" i="4" s="1"/>
  <c r="D55" i="4" s="1"/>
  <c r="D34" i="2"/>
  <c r="D40" i="2" s="1"/>
  <c r="D52" i="2" s="1"/>
  <c r="J36" i="2"/>
  <c r="J42" i="2" s="1"/>
  <c r="J54" i="2" s="1"/>
  <c r="F63" i="3"/>
  <c r="F49" i="3"/>
  <c r="F55" i="3" s="1"/>
  <c r="F61" i="3" s="1"/>
  <c r="C26" i="7"/>
  <c r="C24" i="7"/>
  <c r="C35" i="7" s="1"/>
  <c r="C46" i="7" s="1"/>
  <c r="C22" i="7"/>
  <c r="C33" i="7" s="1"/>
  <c r="C44" i="7" s="1"/>
  <c r="E37" i="7"/>
  <c r="E48" i="7" s="1"/>
  <c r="E27" i="7"/>
  <c r="D27" i="7"/>
  <c r="B28" i="7"/>
  <c r="D23" i="7"/>
  <c r="D34" i="7" s="1"/>
  <c r="D45" i="7" s="1"/>
  <c r="F59" i="3" l="1"/>
  <c r="E94" i="3"/>
  <c r="E100" i="3" s="1"/>
  <c r="C59" i="3"/>
  <c r="C93" i="3"/>
  <c r="I60" i="2"/>
  <c r="C57" i="4"/>
  <c r="G59" i="3"/>
  <c r="G107" i="2"/>
  <c r="E107" i="3"/>
  <c r="D99" i="3"/>
  <c r="J107" i="4"/>
  <c r="C54" i="3"/>
  <c r="J52" i="4"/>
  <c r="J58" i="4" s="1"/>
  <c r="G58" i="4"/>
  <c r="H52" i="4"/>
  <c r="H58" i="4" s="1"/>
  <c r="C52" i="3"/>
  <c r="C58" i="3" s="1"/>
  <c r="E107" i="2"/>
  <c r="G60" i="2"/>
  <c r="F52" i="4"/>
  <c r="F58" i="4" s="1"/>
  <c r="I52" i="2"/>
  <c r="C55" i="4"/>
  <c r="C61" i="4" s="1"/>
  <c r="G107" i="4"/>
  <c r="H58" i="2"/>
  <c r="J58" i="2"/>
  <c r="F58" i="3"/>
  <c r="F60" i="3"/>
  <c r="G55" i="3"/>
  <c r="E51" i="2"/>
  <c r="F57" i="3"/>
  <c r="J99" i="3"/>
  <c r="E52" i="4"/>
  <c r="E58" i="4" s="1"/>
  <c r="F60" i="4"/>
  <c r="G57" i="4"/>
  <c r="E52" i="3"/>
  <c r="E58" i="3" s="1"/>
  <c r="H58" i="3"/>
  <c r="I93" i="3"/>
  <c r="I99" i="3" s="1"/>
  <c r="I107" i="3"/>
  <c r="G58" i="3"/>
  <c r="D58" i="4"/>
  <c r="D55" i="2"/>
  <c r="D61" i="2" s="1"/>
  <c r="E93" i="3"/>
  <c r="E99" i="3" s="1"/>
  <c r="I107" i="2"/>
  <c r="F52" i="2"/>
  <c r="F58" i="2" s="1"/>
  <c r="G94" i="4"/>
  <c r="G100" i="4" s="1"/>
  <c r="D100" i="4"/>
  <c r="E61" i="4"/>
  <c r="H66" i="3"/>
  <c r="H77" i="3"/>
  <c r="H83" i="3" s="1"/>
  <c r="H89" i="3"/>
  <c r="E38" i="7"/>
  <c r="E49" i="7" s="1"/>
  <c r="E28" i="7"/>
  <c r="I54" i="4"/>
  <c r="I60" i="4" s="1"/>
  <c r="E60" i="4"/>
  <c r="I61" i="3"/>
  <c r="E57" i="2"/>
  <c r="H61" i="2"/>
  <c r="I61" i="4"/>
  <c r="I57" i="2"/>
  <c r="H60" i="2"/>
  <c r="H64" i="2"/>
  <c r="H87" i="2"/>
  <c r="H75" i="2"/>
  <c r="H81" i="2" s="1"/>
  <c r="H93" i="2" s="1"/>
  <c r="H99" i="2" s="1"/>
  <c r="J55" i="4"/>
  <c r="J61" i="4" s="1"/>
  <c r="F64" i="3"/>
  <c r="F87" i="3"/>
  <c r="F75" i="3"/>
  <c r="F81" i="3" s="1"/>
  <c r="D61" i="3"/>
  <c r="I57" i="3"/>
  <c r="D99" i="4"/>
  <c r="H107" i="2"/>
  <c r="J59" i="2"/>
  <c r="I60" i="3"/>
  <c r="J107" i="3"/>
  <c r="G60" i="3"/>
  <c r="D60" i="4"/>
  <c r="F107" i="4"/>
  <c r="H99" i="3"/>
  <c r="F61" i="4"/>
  <c r="J60" i="2"/>
  <c r="D65" i="3"/>
  <c r="D76" i="3"/>
  <c r="D82" i="3" s="1"/>
  <c r="D88" i="3"/>
  <c r="I88" i="3"/>
  <c r="I76" i="3"/>
  <c r="I82" i="3" s="1"/>
  <c r="I65" i="3"/>
  <c r="J55" i="2"/>
  <c r="J61" i="2" s="1"/>
  <c r="I75" i="4"/>
  <c r="I81" i="4" s="1"/>
  <c r="I87" i="4"/>
  <c r="I64" i="4"/>
  <c r="G52" i="2"/>
  <c r="G58" i="2" s="1"/>
  <c r="H94" i="3"/>
  <c r="H100" i="3" s="1"/>
  <c r="H107" i="4"/>
  <c r="B29" i="7"/>
  <c r="B39" i="7"/>
  <c r="B50" i="7" s="1"/>
  <c r="E100" i="4"/>
  <c r="G61" i="3"/>
  <c r="H107" i="3"/>
  <c r="C52" i="4"/>
  <c r="C58" i="4" s="1"/>
  <c r="H60" i="3"/>
  <c r="E59" i="2"/>
  <c r="D61" i="4"/>
  <c r="I58" i="3"/>
  <c r="C57" i="3"/>
  <c r="J75" i="2"/>
  <c r="J81" i="2" s="1"/>
  <c r="J87" i="2"/>
  <c r="J64" i="2"/>
  <c r="E99" i="4"/>
  <c r="D53" i="4"/>
  <c r="D59" i="4" s="1"/>
  <c r="E53" i="4"/>
  <c r="E59" i="4" s="1"/>
  <c r="I99" i="2"/>
  <c r="C54" i="2"/>
  <c r="C60" i="2" s="1"/>
  <c r="E57" i="3"/>
  <c r="G94" i="3"/>
  <c r="G100" i="3" s="1"/>
  <c r="C37" i="7"/>
  <c r="C48" i="7" s="1"/>
  <c r="C27" i="7"/>
  <c r="I57" i="4"/>
  <c r="H61" i="3"/>
  <c r="G87" i="2"/>
  <c r="G64" i="2"/>
  <c r="G75" i="2"/>
  <c r="G81" i="2" s="1"/>
  <c r="G93" i="2" s="1"/>
  <c r="G99" i="2" s="1"/>
  <c r="J87" i="4"/>
  <c r="J75" i="4"/>
  <c r="J81" i="4" s="1"/>
  <c r="J93" i="4" s="1"/>
  <c r="J99" i="4" s="1"/>
  <c r="J64" i="4"/>
  <c r="J60" i="3"/>
  <c r="H57" i="3"/>
  <c r="C60" i="3"/>
  <c r="J61" i="3"/>
  <c r="F99" i="4"/>
  <c r="H57" i="4"/>
  <c r="D87" i="2"/>
  <c r="D75" i="2"/>
  <c r="D81" i="2" s="1"/>
  <c r="D64" i="2"/>
  <c r="C99" i="3"/>
  <c r="D38" i="7"/>
  <c r="D49" i="7" s="1"/>
  <c r="D28" i="7"/>
  <c r="E58" i="2"/>
  <c r="E93" i="2"/>
  <c r="E99" i="2" s="1"/>
  <c r="D57" i="2"/>
  <c r="G59" i="4"/>
  <c r="I58" i="4"/>
  <c r="C61" i="2"/>
  <c r="I59" i="2"/>
  <c r="H59" i="3"/>
  <c r="C64" i="2"/>
  <c r="C75" i="2"/>
  <c r="C81" i="2" s="1"/>
  <c r="C87" i="2"/>
  <c r="G99" i="4"/>
  <c r="I58" i="2"/>
  <c r="D60" i="2"/>
  <c r="I100" i="2"/>
  <c r="J88" i="3"/>
  <c r="J76" i="3"/>
  <c r="J82" i="3" s="1"/>
  <c r="J94" i="3" s="1"/>
  <c r="J100" i="3" s="1"/>
  <c r="J65" i="3"/>
  <c r="D89" i="4"/>
  <c r="D77" i="4"/>
  <c r="D83" i="4" s="1"/>
  <c r="D95" i="4" s="1"/>
  <c r="D101" i="4" s="1"/>
  <c r="D66" i="4"/>
  <c r="E78" i="4"/>
  <c r="E84" i="4" s="1"/>
  <c r="E90" i="4"/>
  <c r="E67" i="4"/>
  <c r="F59" i="4"/>
  <c r="H64" i="4"/>
  <c r="H87" i="4"/>
  <c r="H75" i="4"/>
  <c r="H81" i="4" s="1"/>
  <c r="G93" i="3"/>
  <c r="G99" i="3" s="1"/>
  <c r="F57" i="2"/>
  <c r="J57" i="4"/>
  <c r="J59" i="3"/>
  <c r="J57" i="3"/>
  <c r="C65" i="3"/>
  <c r="C76" i="3"/>
  <c r="C82" i="3" s="1"/>
  <c r="C94" i="3" s="1"/>
  <c r="C100" i="3" s="1"/>
  <c r="C88" i="3"/>
  <c r="D58" i="2"/>
  <c r="C59" i="4"/>
  <c r="E101" i="4"/>
  <c r="H55" i="4"/>
  <c r="H61" i="4" s="1"/>
  <c r="F55" i="2"/>
  <c r="F61" i="2" s="1"/>
  <c r="G59" i="2"/>
  <c r="I89" i="2"/>
  <c r="I77" i="2"/>
  <c r="I83" i="2" s="1"/>
  <c r="I66" i="2"/>
  <c r="E77" i="3"/>
  <c r="E83" i="3" s="1"/>
  <c r="E95" i="3" s="1"/>
  <c r="E101" i="3" s="1"/>
  <c r="E66" i="3"/>
  <c r="E89" i="3"/>
  <c r="C87" i="4"/>
  <c r="C64" i="4"/>
  <c r="C75" i="4"/>
  <c r="C81" i="4" s="1"/>
  <c r="C93" i="4" s="1"/>
  <c r="C99" i="4" s="1"/>
  <c r="E61" i="3"/>
  <c r="G66" i="4"/>
  <c r="G89" i="4"/>
  <c r="G77" i="4"/>
  <c r="G83" i="4" s="1"/>
  <c r="D54" i="3"/>
  <c r="D60" i="3" s="1"/>
  <c r="E88" i="2"/>
  <c r="E65" i="2"/>
  <c r="E76" i="2"/>
  <c r="E82" i="2" s="1"/>
  <c r="E94" i="2" s="1"/>
  <c r="E100" i="2" s="1"/>
  <c r="G77" i="3"/>
  <c r="G83" i="3" s="1"/>
  <c r="G66" i="3"/>
  <c r="G89" i="3"/>
  <c r="E61" i="2"/>
  <c r="E60" i="3"/>
  <c r="F88" i="4"/>
  <c r="F65" i="4"/>
  <c r="F76" i="4"/>
  <c r="F82" i="4" s="1"/>
  <c r="F75" i="2"/>
  <c r="F81" i="2" s="1"/>
  <c r="F87" i="2"/>
  <c r="F64" i="2"/>
  <c r="C58" i="2"/>
  <c r="D59" i="3"/>
  <c r="I59" i="3"/>
  <c r="C93" i="2" l="1"/>
  <c r="C99" i="2" s="1"/>
  <c r="I95" i="2"/>
  <c r="I101" i="2" s="1"/>
  <c r="D94" i="3"/>
  <c r="D100" i="3" s="1"/>
  <c r="H95" i="3"/>
  <c r="H101" i="3" s="1"/>
  <c r="D93" i="2"/>
  <c r="D99" i="2" s="1"/>
  <c r="G76" i="2"/>
  <c r="G82" i="2" s="1"/>
  <c r="G88" i="2"/>
  <c r="G65" i="2"/>
  <c r="G78" i="3"/>
  <c r="G84" i="3" s="1"/>
  <c r="G90" i="3"/>
  <c r="G67" i="3"/>
  <c r="D29" i="7"/>
  <c r="D39" i="7"/>
  <c r="D50" i="7" s="1"/>
  <c r="E89" i="2"/>
  <c r="E66" i="2"/>
  <c r="E77" i="2"/>
  <c r="E83" i="2" s="1"/>
  <c r="E95" i="2" s="1"/>
  <c r="E101" i="2" s="1"/>
  <c r="J89" i="3"/>
  <c r="J66" i="3"/>
  <c r="J77" i="3"/>
  <c r="J83" i="3" s="1"/>
  <c r="J95" i="3" s="1"/>
  <c r="J101" i="3" s="1"/>
  <c r="D88" i="2"/>
  <c r="D65" i="2"/>
  <c r="D76" i="2"/>
  <c r="D82" i="2" s="1"/>
  <c r="I76" i="4"/>
  <c r="I82" i="4" s="1"/>
  <c r="I88" i="4"/>
  <c r="I65" i="4"/>
  <c r="E29" i="7"/>
  <c r="E39" i="7"/>
  <c r="E50" i="7" s="1"/>
  <c r="G95" i="3"/>
  <c r="G101" i="3" s="1"/>
  <c r="G95" i="4"/>
  <c r="G101" i="4" s="1"/>
  <c r="I93" i="4"/>
  <c r="I99" i="4" s="1"/>
  <c r="I78" i="2"/>
  <c r="I84" i="2" s="1"/>
  <c r="I67" i="2"/>
  <c r="I90" i="2"/>
  <c r="D78" i="4"/>
  <c r="D84" i="4" s="1"/>
  <c r="D90" i="4"/>
  <c r="D67" i="4"/>
  <c r="I89" i="3"/>
  <c r="I66" i="3"/>
  <c r="I77" i="3"/>
  <c r="I83" i="3" s="1"/>
  <c r="F93" i="3"/>
  <c r="F99" i="3" s="1"/>
  <c r="H78" i="3"/>
  <c r="H84" i="3" s="1"/>
  <c r="H67" i="3"/>
  <c r="H90" i="3"/>
  <c r="E90" i="3"/>
  <c r="E67" i="3"/>
  <c r="E78" i="3"/>
  <c r="E84" i="3" s="1"/>
  <c r="B30" i="7"/>
  <c r="B40" i="7"/>
  <c r="B51" i="7" s="1"/>
  <c r="C76" i="2"/>
  <c r="C82" i="2" s="1"/>
  <c r="C94" i="2" s="1"/>
  <c r="C100" i="2" s="1"/>
  <c r="C65" i="2"/>
  <c r="C88" i="2"/>
  <c r="F76" i="3"/>
  <c r="F82" i="3" s="1"/>
  <c r="F65" i="3"/>
  <c r="F88" i="3"/>
  <c r="F93" i="2"/>
  <c r="F99" i="2" s="1"/>
  <c r="C88" i="4"/>
  <c r="C76" i="4"/>
  <c r="C82" i="4" s="1"/>
  <c r="C94" i="4" s="1"/>
  <c r="C100" i="4" s="1"/>
  <c r="C65" i="4"/>
  <c r="H93" i="4"/>
  <c r="H99" i="4" s="1"/>
  <c r="J88" i="4"/>
  <c r="J65" i="4"/>
  <c r="J76" i="4"/>
  <c r="J82" i="4" s="1"/>
  <c r="J93" i="2"/>
  <c r="J99" i="2" s="1"/>
  <c r="G78" i="4"/>
  <c r="G84" i="4" s="1"/>
  <c r="G90" i="4"/>
  <c r="G67" i="4"/>
  <c r="F88" i="2"/>
  <c r="F65" i="2"/>
  <c r="F76" i="2"/>
  <c r="F82" i="2" s="1"/>
  <c r="F94" i="2" s="1"/>
  <c r="F100" i="2" s="1"/>
  <c r="J76" i="2"/>
  <c r="J82" i="2" s="1"/>
  <c r="J65" i="2"/>
  <c r="J88" i="2"/>
  <c r="I94" i="3"/>
  <c r="I100" i="3" s="1"/>
  <c r="H76" i="2"/>
  <c r="H82" i="2" s="1"/>
  <c r="H65" i="2"/>
  <c r="H88" i="2"/>
  <c r="E79" i="4"/>
  <c r="E85" i="4" s="1"/>
  <c r="E91" i="4"/>
  <c r="E96" i="4"/>
  <c r="E102" i="4" s="1"/>
  <c r="C38" i="7"/>
  <c r="C49" i="7" s="1"/>
  <c r="C28" i="7"/>
  <c r="C66" i="3"/>
  <c r="C89" i="3"/>
  <c r="C77" i="3"/>
  <c r="C83" i="3" s="1"/>
  <c r="C95" i="3" s="1"/>
  <c r="C101" i="3" s="1"/>
  <c r="F94" i="4"/>
  <c r="F100" i="4" s="1"/>
  <c r="F66" i="4"/>
  <c r="F89" i="4"/>
  <c r="F77" i="4"/>
  <c r="F83" i="4" s="1"/>
  <c r="H76" i="4"/>
  <c r="H82" i="4" s="1"/>
  <c r="H88" i="4"/>
  <c r="H65" i="4"/>
  <c r="D66" i="3"/>
  <c r="D77" i="3"/>
  <c r="D83" i="3" s="1"/>
  <c r="D89" i="3"/>
  <c r="D94" i="2" l="1"/>
  <c r="D100" i="2" s="1"/>
  <c r="I95" i="3"/>
  <c r="I101" i="3" s="1"/>
  <c r="I96" i="2"/>
  <c r="I102" i="2" s="1"/>
  <c r="J94" i="2"/>
  <c r="J100" i="2" s="1"/>
  <c r="E96" i="3"/>
  <c r="E102" i="3" s="1"/>
  <c r="H94" i="4"/>
  <c r="H100" i="4" s="1"/>
  <c r="F95" i="4"/>
  <c r="F101" i="4" s="1"/>
  <c r="G96" i="4"/>
  <c r="G102" i="4" s="1"/>
  <c r="G94" i="2"/>
  <c r="G100" i="2" s="1"/>
  <c r="J94" i="4"/>
  <c r="J100" i="4" s="1"/>
  <c r="I94" i="4"/>
  <c r="I100" i="4" s="1"/>
  <c r="H79" i="3"/>
  <c r="H85" i="3" s="1"/>
  <c r="H91" i="3"/>
  <c r="G89" i="2"/>
  <c r="G66" i="2"/>
  <c r="G77" i="2"/>
  <c r="G83" i="2" s="1"/>
  <c r="H96" i="3"/>
  <c r="H102" i="3" s="1"/>
  <c r="G79" i="4"/>
  <c r="G85" i="4" s="1"/>
  <c r="G91" i="4"/>
  <c r="F66" i="2"/>
  <c r="F77" i="2"/>
  <c r="F83" i="2" s="1"/>
  <c r="F89" i="2"/>
  <c r="F67" i="4"/>
  <c r="F78" i="4"/>
  <c r="F84" i="4" s="1"/>
  <c r="F90" i="4"/>
  <c r="C67" i="3"/>
  <c r="C90" i="3"/>
  <c r="C78" i="3"/>
  <c r="C84" i="3" s="1"/>
  <c r="C96" i="3" s="1"/>
  <c r="C102" i="3" s="1"/>
  <c r="C89" i="4"/>
  <c r="C77" i="4"/>
  <c r="C83" i="4" s="1"/>
  <c r="C95" i="4" s="1"/>
  <c r="C101" i="4" s="1"/>
  <c r="C66" i="4"/>
  <c r="B41" i="7"/>
  <c r="B52" i="7" s="1"/>
  <c r="B31" i="7"/>
  <c r="B42" i="7" s="1"/>
  <c r="E40" i="7"/>
  <c r="E51" i="7" s="1"/>
  <c r="E30" i="7"/>
  <c r="I89" i="4"/>
  <c r="I66" i="4"/>
  <c r="I77" i="4"/>
  <c r="I83" i="4" s="1"/>
  <c r="F89" i="3"/>
  <c r="F66" i="3"/>
  <c r="F77" i="3"/>
  <c r="F83" i="3" s="1"/>
  <c r="F95" i="3" s="1"/>
  <c r="F101" i="3" s="1"/>
  <c r="F94" i="3"/>
  <c r="F100" i="3" s="1"/>
  <c r="D96" i="4"/>
  <c r="D102" i="4" s="1"/>
  <c r="D40" i="7"/>
  <c r="D51" i="7" s="1"/>
  <c r="D30" i="7"/>
  <c r="J66" i="4"/>
  <c r="J77" i="4"/>
  <c r="J83" i="4" s="1"/>
  <c r="J89" i="4"/>
  <c r="D89" i="2"/>
  <c r="D66" i="2"/>
  <c r="D77" i="2"/>
  <c r="D83" i="2" s="1"/>
  <c r="D95" i="2" s="1"/>
  <c r="D101" i="2" s="1"/>
  <c r="I78" i="3"/>
  <c r="I84" i="3" s="1"/>
  <c r="I67" i="3"/>
  <c r="I90" i="3"/>
  <c r="H94" i="2"/>
  <c r="H100" i="2" s="1"/>
  <c r="D79" i="4"/>
  <c r="D85" i="4" s="1"/>
  <c r="D91" i="4"/>
  <c r="G79" i="3"/>
  <c r="G85" i="3" s="1"/>
  <c r="G91" i="3"/>
  <c r="G96" i="3"/>
  <c r="G102" i="3" s="1"/>
  <c r="E91" i="3"/>
  <c r="E79" i="3"/>
  <c r="E85" i="3" s="1"/>
  <c r="C29" i="7"/>
  <c r="C39" i="7"/>
  <c r="C50" i="7" s="1"/>
  <c r="E97" i="4"/>
  <c r="E103" i="4" s="1"/>
  <c r="E105" i="4" s="1"/>
  <c r="E109" i="4" s="1"/>
  <c r="H66" i="2"/>
  <c r="H77" i="2"/>
  <c r="H83" i="2" s="1"/>
  <c r="H89" i="2"/>
  <c r="J78" i="3"/>
  <c r="J84" i="3" s="1"/>
  <c r="J90" i="3"/>
  <c r="J67" i="3"/>
  <c r="D95" i="3"/>
  <c r="D101" i="3" s="1"/>
  <c r="D78" i="3"/>
  <c r="D84" i="3" s="1"/>
  <c r="D90" i="3"/>
  <c r="D67" i="3"/>
  <c r="E67" i="2"/>
  <c r="E78" i="2"/>
  <c r="E84" i="2" s="1"/>
  <c r="E90" i="2"/>
  <c r="H77" i="4"/>
  <c r="H83" i="4" s="1"/>
  <c r="H89" i="4"/>
  <c r="H66" i="4"/>
  <c r="J89" i="2"/>
  <c r="J77" i="2"/>
  <c r="J83" i="2" s="1"/>
  <c r="J66" i="2"/>
  <c r="C89" i="2"/>
  <c r="C66" i="2"/>
  <c r="C77" i="2"/>
  <c r="C83" i="2" s="1"/>
  <c r="C95" i="2" s="1"/>
  <c r="C101" i="2" s="1"/>
  <c r="I91" i="2"/>
  <c r="I79" i="2"/>
  <c r="I85" i="2" s="1"/>
  <c r="I97" i="2" s="1"/>
  <c r="I103" i="2" s="1"/>
  <c r="I105" i="2" s="1"/>
  <c r="I109" i="2" s="1"/>
  <c r="G97" i="3" l="1"/>
  <c r="G103" i="3" s="1"/>
  <c r="G105" i="3" s="1"/>
  <c r="G109" i="3" s="1"/>
  <c r="E97" i="3"/>
  <c r="E103" i="3" s="1"/>
  <c r="E105" i="3" s="1"/>
  <c r="E109" i="3" s="1"/>
  <c r="H95" i="4"/>
  <c r="H101" i="4" s="1"/>
  <c r="J95" i="2"/>
  <c r="J101" i="2" s="1"/>
  <c r="E31" i="7"/>
  <c r="E42" i="7" s="1"/>
  <c r="E41" i="7"/>
  <c r="E52" i="7" s="1"/>
  <c r="B53" i="7"/>
  <c r="B54" i="7" s="1"/>
  <c r="B57" i="7" s="1"/>
  <c r="B58" i="7" s="1"/>
  <c r="B59" i="7" s="1"/>
  <c r="B60" i="7" s="1"/>
  <c r="B55" i="7"/>
  <c r="B56" i="7" s="1"/>
  <c r="H97" i="3"/>
  <c r="H103" i="3" s="1"/>
  <c r="H105" i="3" s="1"/>
  <c r="H109" i="3" s="1"/>
  <c r="C91" i="3"/>
  <c r="C79" i="3"/>
  <c r="C85" i="3" s="1"/>
  <c r="F96" i="4"/>
  <c r="F102" i="4" s="1"/>
  <c r="H67" i="2"/>
  <c r="H78" i="2"/>
  <c r="H84" i="2" s="1"/>
  <c r="H90" i="2"/>
  <c r="F79" i="4"/>
  <c r="F85" i="4" s="1"/>
  <c r="F91" i="4"/>
  <c r="D97" i="4"/>
  <c r="E79" i="2"/>
  <c r="E85" i="2" s="1"/>
  <c r="E91" i="2"/>
  <c r="D78" i="2"/>
  <c r="D84" i="2" s="1"/>
  <c r="D67" i="2"/>
  <c r="D90" i="2"/>
  <c r="G97" i="4"/>
  <c r="G103" i="4" s="1"/>
  <c r="G105" i="4" s="1"/>
  <c r="G109" i="4" s="1"/>
  <c r="I91" i="3"/>
  <c r="I79" i="3"/>
  <c r="I85" i="3" s="1"/>
  <c r="I97" i="3" s="1"/>
  <c r="I103" i="3" s="1"/>
  <c r="F95" i="2"/>
  <c r="F101" i="2" s="1"/>
  <c r="I96" i="3"/>
  <c r="I102" i="3" s="1"/>
  <c r="J91" i="3"/>
  <c r="J79" i="3"/>
  <c r="J85" i="3" s="1"/>
  <c r="C67" i="2"/>
  <c r="C78" i="2"/>
  <c r="C84" i="2" s="1"/>
  <c r="C90" i="2"/>
  <c r="F67" i="3"/>
  <c r="F78" i="3"/>
  <c r="F84" i="3" s="1"/>
  <c r="F90" i="3"/>
  <c r="H90" i="4"/>
  <c r="H78" i="4"/>
  <c r="H84" i="4" s="1"/>
  <c r="H67" i="4"/>
  <c r="E96" i="2"/>
  <c r="E102" i="2" s="1"/>
  <c r="D79" i="3"/>
  <c r="D85" i="3" s="1"/>
  <c r="D91" i="3"/>
  <c r="C67" i="4"/>
  <c r="C90" i="4"/>
  <c r="C78" i="4"/>
  <c r="C84" i="4" s="1"/>
  <c r="C96" i="4" s="1"/>
  <c r="C102" i="4" s="1"/>
  <c r="D96" i="3"/>
  <c r="D102" i="3" s="1"/>
  <c r="J96" i="3"/>
  <c r="J102" i="3" s="1"/>
  <c r="J95" i="4"/>
  <c r="J101" i="4" s="1"/>
  <c r="H95" i="2"/>
  <c r="H101" i="2" s="1"/>
  <c r="J90" i="4"/>
  <c r="J78" i="4"/>
  <c r="J84" i="4" s="1"/>
  <c r="J96" i="4" s="1"/>
  <c r="J102" i="4" s="1"/>
  <c r="J67" i="4"/>
  <c r="D31" i="7"/>
  <c r="D42" i="7" s="1"/>
  <c r="D41" i="7"/>
  <c r="D52" i="7" s="1"/>
  <c r="F67" i="2"/>
  <c r="F78" i="2"/>
  <c r="F84" i="2" s="1"/>
  <c r="F90" i="2"/>
  <c r="J90" i="2"/>
  <c r="J78" i="2"/>
  <c r="J84" i="2" s="1"/>
  <c r="J67" i="2"/>
  <c r="C30" i="7"/>
  <c r="C40" i="7"/>
  <c r="C51" i="7" s="1"/>
  <c r="I95" i="4"/>
  <c r="I101" i="4" s="1"/>
  <c r="G95" i="2"/>
  <c r="G101" i="2" s="1"/>
  <c r="I67" i="4"/>
  <c r="I78" i="4"/>
  <c r="I84" i="4" s="1"/>
  <c r="I90" i="4"/>
  <c r="G67" i="2"/>
  <c r="G78" i="2"/>
  <c r="G84" i="2" s="1"/>
  <c r="G90" i="2"/>
  <c r="J96" i="2" l="1"/>
  <c r="J102" i="2" s="1"/>
  <c r="F96" i="2"/>
  <c r="F102" i="2" s="1"/>
  <c r="J97" i="3"/>
  <c r="J103" i="3" s="1"/>
  <c r="E97" i="2"/>
  <c r="E103" i="2" s="1"/>
  <c r="E105" i="2" s="1"/>
  <c r="E109" i="2" s="1"/>
  <c r="H79" i="4"/>
  <c r="H85" i="4" s="1"/>
  <c r="H91" i="4"/>
  <c r="D55" i="7"/>
  <c r="D56" i="7" s="1"/>
  <c r="D53" i="7"/>
  <c r="D54" i="7" s="1"/>
  <c r="H96" i="2"/>
  <c r="H102" i="2" s="1"/>
  <c r="H79" i="2"/>
  <c r="H85" i="2" s="1"/>
  <c r="H91" i="2"/>
  <c r="G96" i="2"/>
  <c r="G102" i="2" s="1"/>
  <c r="G91" i="2"/>
  <c r="G79" i="2"/>
  <c r="G85" i="2" s="1"/>
  <c r="G97" i="2" s="1"/>
  <c r="G103" i="2" s="1"/>
  <c r="J105" i="3"/>
  <c r="J109" i="3" s="1"/>
  <c r="I105" i="3"/>
  <c r="I109" i="3" s="1"/>
  <c r="C97" i="3"/>
  <c r="F91" i="2"/>
  <c r="F79" i="2"/>
  <c r="F85" i="2" s="1"/>
  <c r="F97" i="2" s="1"/>
  <c r="F103" i="2" s="1"/>
  <c r="F105" i="2" s="1"/>
  <c r="F109" i="2" s="1"/>
  <c r="D103" i="4"/>
  <c r="D105" i="4" s="1"/>
  <c r="D106" i="4"/>
  <c r="D107" i="4" s="1"/>
  <c r="F97" i="4"/>
  <c r="F103" i="4" s="1"/>
  <c r="F105" i="4" s="1"/>
  <c r="F109" i="4" s="1"/>
  <c r="I96" i="4"/>
  <c r="I102" i="4" s="1"/>
  <c r="E55" i="7"/>
  <c r="E56" i="7" s="1"/>
  <c r="E53" i="7"/>
  <c r="E54" i="7" s="1"/>
  <c r="H96" i="4"/>
  <c r="H102" i="4" s="1"/>
  <c r="J91" i="4"/>
  <c r="J79" i="4"/>
  <c r="J85" i="4" s="1"/>
  <c r="J97" i="4" s="1"/>
  <c r="J103" i="4" s="1"/>
  <c r="J105" i="4" s="1"/>
  <c r="J109" i="4" s="1"/>
  <c r="F79" i="3"/>
  <c r="F85" i="3" s="1"/>
  <c r="F91" i="3"/>
  <c r="C96" i="2"/>
  <c r="C102" i="2" s="1"/>
  <c r="I91" i="4"/>
  <c r="I79" i="4"/>
  <c r="I85" i="4" s="1"/>
  <c r="I97" i="4" s="1"/>
  <c r="I103" i="4" s="1"/>
  <c r="I105" i="4" s="1"/>
  <c r="I109" i="4" s="1"/>
  <c r="D79" i="2"/>
  <c r="D85" i="2" s="1"/>
  <c r="D91" i="2"/>
  <c r="F96" i="3"/>
  <c r="F102" i="3" s="1"/>
  <c r="C79" i="2"/>
  <c r="C85" i="2" s="1"/>
  <c r="C91" i="2"/>
  <c r="C91" i="4"/>
  <c r="C79" i="4"/>
  <c r="C85" i="4" s="1"/>
  <c r="C97" i="4" s="1"/>
  <c r="C31" i="7"/>
  <c r="C42" i="7" s="1"/>
  <c r="C41" i="7"/>
  <c r="C52" i="7" s="1"/>
  <c r="D97" i="3"/>
  <c r="J79" i="2"/>
  <c r="J85" i="2" s="1"/>
  <c r="J97" i="2" s="1"/>
  <c r="J103" i="2" s="1"/>
  <c r="J105" i="2" s="1"/>
  <c r="J109" i="2" s="1"/>
  <c r="J91" i="2"/>
  <c r="D96" i="2"/>
  <c r="D102" i="2" s="1"/>
  <c r="C97" i="2" l="1"/>
  <c r="D97" i="2"/>
  <c r="H97" i="2"/>
  <c r="H103" i="2" s="1"/>
  <c r="H105" i="2" s="1"/>
  <c r="H109" i="2" s="1"/>
  <c r="D57" i="7"/>
  <c r="D58" i="7" s="1"/>
  <c r="D59" i="7" s="1"/>
  <c r="D60" i="7" s="1"/>
  <c r="E57" i="7"/>
  <c r="E58" i="7" s="1"/>
  <c r="E59" i="7" s="1"/>
  <c r="E60" i="7" s="1"/>
  <c r="F97" i="3"/>
  <c r="F103" i="3" s="1"/>
  <c r="F105" i="3" s="1"/>
  <c r="F109" i="3" s="1"/>
  <c r="H97" i="4"/>
  <c r="H103" i="4" s="1"/>
  <c r="H105" i="4" s="1"/>
  <c r="H109" i="4" s="1"/>
  <c r="D109" i="4"/>
  <c r="C106" i="3"/>
  <c r="C107" i="3" s="1"/>
  <c r="C103" i="3"/>
  <c r="C105" i="3" s="1"/>
  <c r="C109" i="3" s="1"/>
  <c r="G105" i="2"/>
  <c r="G109" i="2" s="1"/>
  <c r="D106" i="3"/>
  <c r="D107" i="3" s="1"/>
  <c r="D103" i="3"/>
  <c r="D105" i="3" s="1"/>
  <c r="D106" i="2"/>
  <c r="D107" i="2" s="1"/>
  <c r="D103" i="2"/>
  <c r="D105" i="2" s="1"/>
  <c r="D109" i="2" s="1"/>
  <c r="C103" i="4"/>
  <c r="C105" i="4" s="1"/>
  <c r="C106" i="4"/>
  <c r="C107" i="4" s="1"/>
  <c r="C103" i="2"/>
  <c r="C105" i="2" s="1"/>
  <c r="C106" i="2"/>
  <c r="C107" i="2" s="1"/>
  <c r="C55" i="7"/>
  <c r="C56" i="7" s="1"/>
  <c r="C53" i="7"/>
  <c r="C54" i="7" s="1"/>
  <c r="C57" i="7" l="1"/>
  <c r="C58" i="7" s="1"/>
  <c r="C59" i="7" s="1"/>
  <c r="C60" i="7" s="1"/>
  <c r="C109" i="2"/>
  <c r="C109" i="4"/>
  <c r="D109" i="3"/>
  <c r="K109" i="3"/>
  <c r="K119" i="3" s="1"/>
  <c r="K122" i="3" s="1"/>
  <c r="B17" i="6" s="1"/>
  <c r="K110" i="3"/>
  <c r="E17" i="6" l="1"/>
  <c r="K110" i="4"/>
  <c r="K109" i="4"/>
  <c r="K119" i="4" s="1"/>
  <c r="K122" i="4" s="1"/>
  <c r="B19" i="6" s="1"/>
  <c r="E19" i="6" s="1"/>
  <c r="K110" i="2"/>
  <c r="K109" i="2"/>
  <c r="K119" i="2" s="1"/>
  <c r="K122" i="2" s="1"/>
  <c r="B18" i="6" s="1"/>
  <c r="E18" i="6" s="1"/>
  <c r="B21" i="6" l="1"/>
  <c r="E21" i="6"/>
</calcChain>
</file>

<file path=xl/sharedStrings.xml><?xml version="1.0" encoding="utf-8"?>
<sst xmlns="http://schemas.openxmlformats.org/spreadsheetml/2006/main" count="603" uniqueCount="331">
  <si>
    <t>FinSurf — SOTP-DCF Inputs</t>
  </si>
  <si>
    <t>Phase 2 v3 — per-Segment WACC (Damodaran β), shared D/E + tax. Column C = Reasoning.</t>
  </si>
  <si>
    <t>── Company ──</t>
  </si>
  <si>
    <t>Company</t>
  </si>
  <si>
    <t>SAP SE</t>
  </si>
  <si>
    <t>Ticker</t>
  </si>
  <si>
    <t>SAP.DE</t>
  </si>
  <si>
    <t>Currency</t>
  </si>
  <si>
    <t>EUR</t>
  </si>
  <si>
    <t>Report Date (ISO)</t>
  </si>
  <si>
    <t>2025-12-31</t>
  </si>
  <si>
    <t>── Group Bilanz (Y0) ──</t>
  </si>
  <si>
    <t>Shares Outstanding (Mio.)</t>
  </si>
  <si>
    <t>Cash (Mio.)</t>
  </si>
  <si>
    <t>Total Debt ex-Leases (Mio.)</t>
  </si>
  <si>
    <t>Net Debt (Mio.) [calc]</t>
  </si>
  <si>
    <t>Minority Interest (Mio.)</t>
  </si>
  <si>
    <t>── WACC Build-Up (Group-Defaults; Segmente überschreiben β) ──</t>
  </si>
  <si>
    <t>← Reasoning (Writer befüllt)</t>
  </si>
  <si>
    <t>Risk-Free Rate (Rf)</t>
  </si>
  <si>
    <t>Bund 10Y 31.12.2025</t>
  </si>
  <si>
    <t>Equity Risk Premium (ERP)</t>
  </si>
  <si>
    <t>Damodaran Europe (deterministisch)</t>
  </si>
  <si>
    <t>Unlevered Beta (Group, Fallback)</t>
  </si>
  <si>
    <t>Damodaran Sektor-Beta, aus data/industry_betas.json</t>
  </si>
  <si>
    <t>Target D/E</t>
  </si>
  <si>
    <t>(Kapitalstruktur-Annahme: Writer)</t>
  </si>
  <si>
    <t>Tax Rate</t>
  </si>
  <si>
    <t>(Effektiver Steuersatz: Writer)</t>
  </si>
  <si>
    <t>Levered Beta Group [calc, β→1 konvergiert]</t>
  </si>
  <si>
    <t>Country Risk Premium</t>
  </si>
  <si>
    <t>EMEA 46% (DE/FR/UK/NL dominiert, CRP~0%); Americas 39% (US 80% davon, CRP 0%, LatAm-Rest minimal); APJ 14% (Japan/Australien/China/Indien mix, ~1,0% Revenue-gewichtet); Group-Weighted CRP ≈ 20bp.</t>
  </si>
  <si>
    <t>Specific Risk Premium</t>
  </si>
  <si>
    <t>SAP: keine wesentliche Governance-Schwäche, keine Dual-Class-Struktur, breiter Streubesitz, starkes Disclosure. DOJ/SEC-Settlement läuft (Self-Monitorship abgeschlossen 2024) – gehört als Binary Adjustment, NICHT als SRP.</t>
  </si>
  <si>
    <t>Cost of Equity Group [calc, ≥ Kd + Nachrang-Spread]</t>
  </si>
  <si>
    <t>Cost of Debt pre-tax (Kd)</t>
  </si>
  <si>
    <t>SAP A+ equivalent IG-Rating, Eurobond-Kuponhistorie ~2,5-3,5%; Spread auf Bund ~80-110bp; pretax ~3,3%.</t>
  </si>
  <si>
    <t>Cost of Debt after-tax [calc]</t>
  </si>
  <si>
    <t>Equity Weight E/(D+E) [calc]</t>
  </si>
  <si>
    <t>Debt Weight D/(D+E) [calc]</t>
  </si>
  <si>
    <t>WACC Group [calc, =MAX(CAPM, Floor)]</t>
  </si>
  <si>
    <t>── Sensitivity-Shocks (Phase 2.5) ──</t>
  </si>
  <si>
    <t>Margin Shock (pp)</t>
  </si>
  <si>
    <t>Growth Shock (pp)</t>
  </si>
  <si>
    <t>WACC Floor (Group, Sektor-Anker)</t>
  </si>
  <si>
    <t>rf(Whg) + β_low(Sektor)×ERP — Writer (data/wacc_floors)</t>
  </si>
  <si>
    <t>Terminal Debt Weight D/(D+E) (firmeneigen, gehalten)</t>
  </si>
  <si>
    <t>Stable-Phase haelt die aktuelle Kapitalstruktur — Writer (terminal_debt_weight_for: current D/E oder Lock-Override)</t>
  </si>
  <si>
    <t>Terminal Kd pre-tax (Rf + base + slope×wD)</t>
  </si>
  <si>
    <t>Credit-Curve: Spread steigt mit Leverage (Anti-Free-Lunch)</t>
  </si>
  <si>
    <t>Terminal Kd after-tax [calc]</t>
  </si>
  <si>
    <t>Groessenpraemie (Marktkap-Band)</t>
  </si>
  <si>
    <t>Marktkap 173,219 Mio EUR (SAP.DE) → Large/Mega Cap (&gt; 10 Mrd): +0.00 pp auf Ke</t>
  </si>
  <si>
    <t>SOTP DCF [Base] — Segment-Level Forecast + Group-Aggregation</t>
  </si>
  <si>
    <t>Yellow = Inputs. Orange = Reasoning (Writer befüllt nach Review-Call). Blue = computed. Green = output.</t>
  </si>
  <si>
    <t>Applications, Technology &amp; Support</t>
  </si>
  <si>
    <t>Core Services</t>
  </si>
  <si>
    <t>Segment 3</t>
  </si>
  <si>
    <t>Segment 4</t>
  </si>
  <si>
    <t>Segment 5</t>
  </si>
  <si>
    <t>Segment 6</t>
  </si>
  <si>
    <t>Segment 7</t>
  </si>
  <si>
    <t>Segment 8</t>
  </si>
  <si>
    <t>GROUP</t>
  </si>
  <si>
    <t>Segment name</t>
  </si>
  <si>
    <t>Y0 Revenue (Mio.)</t>
  </si>
  <si>
    <t>Revenue CAGR (5J)</t>
  </si>
  <si>
    <t>EBIT Margin Y1</t>
  </si>
  <si>
    <t>EBIT Margin Y1 (berichtet, IST)</t>
  </si>
  <si>
    <t>EBIT Margin Y5 (optional)</t>
  </si>
  <si>
    <t>Brutto-Capex / Revenue (Audit)</t>
  </si>
  <si>
    <t>D&amp;A / Revenue (Audit)</t>
  </si>
  <si>
    <t>Net Capex / Revenue (direkt, Y1)</t>
  </si>
  <si>
    <t>Terminal Growth</t>
  </si>
  <si>
    <t>Unlevered β (Damodaran, Segment)</t>
  </si>
  <si>
    <t>WACC-Floor (Sektor, Damodaran-Anker)</t>
  </si>
  <si>
    <t>Segment WACC [calc, =MAX(CAPM, Floor)]</t>
  </si>
  <si>
    <t>Segment CRP Override (leer = Group-CRP)</t>
  </si>
  <si>
    <t>Growth-Reasoning (Review-Call-Audit)</t>
  </si>
  <si>
    <t>Primäranker Stufe 1: SAP-Goodwill-Impairment-Test verwendet durchschnittlich 13,0% Umsatzwachstum für ATS als Budget-Basis. Stufe 1b (demonstrierte CAGR): ATS 2023→2025: 32.847/27.359 = 2J-CAGR 9,5% – aber diese Periode enthält die Legacy-Erosion (SW Support -7%/Jahr), während Cloud ab 2024 beschleunigt. 2026 cc-Guidance Cloud €25,8-26,2 Mrd. aus €21,0 Mrd. = +23% cc; SW Support -7% → -€0,74 Mrd.; SW Lizenzen -25% → -€0,25 Mrd.; Services flat. Implizite ATS-Gesamtumsatzveränderung 2026 cc ≈ +...</t>
  </si>
  <si>
    <t>Stufe 1 (Guidance): Management guidet explizit für 2026 'slight increase in segment revenue (2025: €3,95 Mrd.)' → ~1-3% Wachstum. Stufe 1b (demonstrierte CAGR): 2023-2025: 3.953/3.848 = +2,7% über 2 Jahre = ~1,3% CAGR. Beides konvergiert. 3% CAGR für Y1-Y5 ist leicht über der demonstrierten Rate (1,3%), aber Guidance 'slight increase' und die strategische Neuausrichtung Richtung Cloud-Enablement rechtfertigen moderat höhere Rate. Cloud-Adoption-Rückenwind (mehr RISE-Rollouts = mehr Consulting...</t>
  </si>
  <si>
    <t>Margin-Reasoning (Review-Call-Audit)</t>
  </si>
  <si>
    <t>Y1 40,6% = direkt von der non-IFRS Segment-Marge 2025 abgelesen (13.345/32.847). WICHTIG: Dieser Wert IST auf EBITA-Basis, da die Segment-Reporting-Policies explizit 'Acquisition-related charges (amortization of intangibles)' von €411m 2025 aus dem Segment-Ergebnis ausschließen. Die non-IFRS Segment-Marge INKLUDIERT SBC (nicht als Ausschluss gelistet; SBC-Gesamtaufwand 2025 €1.695m ist in allen Funktionsbereichen enthalten und daher in der Segment-P&amp;L). HQ-Kosten/Corporate €3.358m sind separa...</t>
  </si>
  <si>
    <t>Y1 10,0% vs reported non-IFRS Segment-Marge 10,9% (432/3.953). Abweichung -0,9pp: Management guidet explizit '2026: moderate decrease in segment profit (2025: €0,43 Mrd.)' bei leicht steigendem Umsatz → Margin Compression durch höhere Delivery-Investitionen. Bei Revenue-Annahme ~€4,07 Mrd. (+3%) und 'moderatem Rückgang' des Profits auf ~€380-400m → Marge ~9,5-9,8%, gerundet 10,0%. Y1 10,0% = Guidance-Anker ('moderate decrease in profit', leicht steigende Revenue). Abweichung von reported -0,9...</t>
  </si>
  <si>
    <t>Multiple-Gate (implied vs Sektor-Ceiling)</t>
  </si>
  <si>
    <t>ok: EV/EBITDA 25.7x &lt;= 2.2x x Median 22.8x (tech_software)</t>
  </si>
  <si>
    <t>ok: EV/EBITDA 14.6x &lt;= 1.1x x Median 22.8x (tech_software)</t>
  </si>
  <si>
    <t>Y1 Revenue</t>
  </si>
  <si>
    <t>Y2 Revenue</t>
  </si>
  <si>
    <t>Y3 Revenue</t>
  </si>
  <si>
    <t>Y4 Revenue</t>
  </si>
  <si>
    <t>Y5 Revenue</t>
  </si>
  <si>
    <t>Net Capex / Revenue Y5 (optional, Forward-Struktur)</t>
  </si>
  <si>
    <t>Y1 EBIT Margin</t>
  </si>
  <si>
    <t>Y2 EBIT Margin</t>
  </si>
  <si>
    <t>Y3 EBIT Margin</t>
  </si>
  <si>
    <t>Y4 EBIT Margin</t>
  </si>
  <si>
    <t>Y5 EBIT Margin</t>
  </si>
  <si>
    <t>Y1 EBIT</t>
  </si>
  <si>
    <t>Y2 EBIT</t>
  </si>
  <si>
    <t>Y3 EBIT</t>
  </si>
  <si>
    <t>Y4 EBIT</t>
  </si>
  <si>
    <t>Y5 EBIT</t>
  </si>
  <si>
    <t>Y1 NOPAT (after-tax)</t>
  </si>
  <si>
    <t>Y2 NOPAT</t>
  </si>
  <si>
    <t>Y3 NOPAT</t>
  </si>
  <si>
    <t>Y4 NOPAT</t>
  </si>
  <si>
    <t>Y5 NOPAT</t>
  </si>
  <si>
    <t>Y1 Net Capex</t>
  </si>
  <si>
    <t>Y2 Net Capex</t>
  </si>
  <si>
    <t>Y3 Net Capex</t>
  </si>
  <si>
    <t>Y4 Net Capex</t>
  </si>
  <si>
    <t>Y5 Net Capex</t>
  </si>
  <si>
    <t>Y1 FCF</t>
  </si>
  <si>
    <t>Y2 FCF</t>
  </si>
  <si>
    <t>Y3 FCF</t>
  </si>
  <si>
    <t>Y4 FCF</t>
  </si>
  <si>
    <t>Y5 FCF</t>
  </si>
  <si>
    <t>PV(FCF Y1)</t>
  </si>
  <si>
    <t>PV(FCF Y2)</t>
  </si>
  <si>
    <t>PV(FCF Y3)</t>
  </si>
  <si>
    <t>PV(FCF Y4)</t>
  </si>
  <si>
    <t>PV(FCF Y5)</t>
  </si>
  <si>
    <t>── Stage-2 Fade Period (Year 6-10) ──</t>
  </si>
  <si>
    <t>Y6 Revenue (Fade)</t>
  </si>
  <si>
    <t>Y7 Revenue (Fade)</t>
  </si>
  <si>
    <t>Y8 Revenue (Fade)</t>
  </si>
  <si>
    <t>Y9 Revenue (Fade)</t>
  </si>
  <si>
    <t>Y10 Revenue (Fade)</t>
  </si>
  <si>
    <t>Y6 EBIT Margin (flat Y5)</t>
  </si>
  <si>
    <t>Y7 EBIT Margin (flat Y5)</t>
  </si>
  <si>
    <t>Y8 EBIT Margin (flat Y5)</t>
  </si>
  <si>
    <t>Y9 EBIT Margin (flat Y5)</t>
  </si>
  <si>
    <t>Y10 EBIT Margin (flat Y5)</t>
  </si>
  <si>
    <t>Y6 EBIT</t>
  </si>
  <si>
    <t>Y7 EBIT</t>
  </si>
  <si>
    <t>Y8 EBIT</t>
  </si>
  <si>
    <t>Y9 EBIT</t>
  </si>
  <si>
    <t>Y10 EBIT</t>
  </si>
  <si>
    <t>Y6 NOPAT</t>
  </si>
  <si>
    <t>Y7 NOPAT</t>
  </si>
  <si>
    <t>Y8 NOPAT</t>
  </si>
  <si>
    <t>Y9 NOPAT</t>
  </si>
  <si>
    <t>Y10 NOPAT</t>
  </si>
  <si>
    <t>Y6 Net Capex</t>
  </si>
  <si>
    <t>Y7 Net Capex</t>
  </si>
  <si>
    <t>Y8 Net Capex</t>
  </si>
  <si>
    <t>Y9 Net Capex</t>
  </si>
  <si>
    <t>Y10 Net Capex</t>
  </si>
  <si>
    <t>Y6 FCF</t>
  </si>
  <si>
    <t>Y7 FCF</t>
  </si>
  <si>
    <t>Y8 FCF</t>
  </si>
  <si>
    <t>Y9 FCF</t>
  </si>
  <si>
    <t>Y10 FCF</t>
  </si>
  <si>
    <t>PV(FCF Y6)</t>
  </si>
  <si>
    <t>PV(FCF Y7)</t>
  </si>
  <si>
    <t>PV(FCF Y8)</t>
  </si>
  <si>
    <t>PV(FCF Y9)</t>
  </si>
  <si>
    <t>PV(FCF Y10)</t>
  </si>
  <si>
    <t>Terminal WACC [calc, β→1 für Fade+Gordon]</t>
  </si>
  <si>
    <t>Σ PV(FCF Y1-Y10)</t>
  </si>
  <si>
    <t>Terminal Value (Gordon, FCF Y10)</t>
  </si>
  <si>
    <t>PV(Terminal Value)</t>
  </si>
  <si>
    <t>Segment EV</t>
  </si>
  <si>
    <t>EV-weighted WACC (avg)</t>
  </si>
  <si>
    <t>− Net Debt (ex Töchter, ex CF-Funding)</t>
  </si>
  <si>
    <t>− Minority Interest (adj.)</t>
  </si>
  <si>
    <t>± Corp. Overhead (kap.)</t>
  </si>
  <si>
    <t>± Töchter (Σ Mutter-Anteile, Block Z.124 ff.)</t>
  </si>
  <si>
    <t>+ Captive Finance (P/B × Equity-BW)</t>
  </si>
  <si>
    <t>± Binary Adj (Netto)</t>
  </si>
  <si>
    <t>± Multiple-Gate Adj (Sektor-Ceiling)</t>
  </si>
  <si>
    <t>− Operating-Cash-Floor (nicht ausschüttbar)</t>
  </si>
  <si>
    <t>Σ Equity Value</t>
  </si>
  <si>
    <t>÷ Shares Outstanding</t>
  </si>
  <si>
    <t>Price Target (per Share)</t>
  </si>
  <si>
    <t>SOTP DCF [Bull] — Segment-Level Forecast + Group-Aggregation</t>
  </si>
  <si>
    <t>SOTP DCF [Bear] — Segment-Level Forecast + Group-Aggregation</t>
  </si>
  <si>
    <t>SOTP — Binary Adjustments (Post-DCF)</t>
  </si>
  <si>
    <t>Einmal-Ereignisse: Litigation, M&amp;A, Restrukturierungen. Litigation IMMER negativ (Litigation-Sign-Lock). Netto = EV-Impact × Probability.</t>
  </si>
  <si>
    <t>Writer befüllt aus analysis.binary_adjustments.</t>
  </si>
  <si>
    <t>Name</t>
  </si>
  <si>
    <t>EV-Impact (Mio.)</t>
  </si>
  <si>
    <t>Probability</t>
  </si>
  <si>
    <t>Netto-EV (Mio.)</t>
  </si>
  <si>
    <t>Beschreibung / Evidenz</t>
  </si>
  <si>
    <t>Teradata Litigation – Residualrisiko über Provision</t>
  </si>
  <si>
    <t>€387 Mio. Provision bereits erfasst (Note G.3). Residualexposure auf zusätzliche Schadensersatzforderungen über provisioniertem Betrag. Annahme: 30% Wahrscheinlichkeit auf weitere €500 Mio. (geschätzter Upside des Klägers) → EV -€150 Mio.</t>
  </si>
  <si>
    <t>DOJ/SEC-Compliance – laufende Self-Monitorship</t>
  </si>
  <si>
    <t>Settlement 2021, Self-Monitorship läuft. Verbleibende Compliance-Kosten und marginales Nachzahlungsrisiko bei neuem Befund. Überwiegend abgeklungen, aber nicht null.</t>
  </si>
  <si>
    <t>Netto gesamt (Mio.)</t>
  </si>
  <si>
    <t>Netto pro Aktie</t>
  </si>
  <si>
    <t>SOTP — Bull/Base/Bear-Szenarien</t>
  </si>
  <si>
    <t>Pro Case ein eigenständiges DCF-Sheet (DCF Bull/Base/Bear). Die Group-PTs unten referenzieren diese Sheets LIVE — jeder Case ist segment-genau nachrechenbar.</t>
  </si>
  <si>
    <t>── Segment-Annahmen (pro Case) ──</t>
  </si>
  <si>
    <t>Segment</t>
  </si>
  <si>
    <t>CAGR Bull</t>
  </si>
  <si>
    <t>CAGR Base</t>
  </si>
  <si>
    <t>CAGR Bear</t>
  </si>
  <si>
    <t>Marge Y1 Bull</t>
  </si>
  <si>
    <t>Marge Y1 Base</t>
  </si>
  <si>
    <t>Marge Y1 Bear</t>
  </si>
  <si>
    <t>TG Bull</t>
  </si>
  <si>
    <t>TG Base</t>
  </si>
  <si>
    <t>TG Bear</t>
  </si>
  <si>
    <t>β_lev</t>
  </si>
  <si>
    <t>Δ Marge (pp)</t>
  </si>
  <si>
    <t>── Group Kursziele (live aus DCF-Sheets) ──</t>
  </si>
  <si>
    <t>Szenario</t>
  </si>
  <si>
    <t>PT roh (€/Aktie)</t>
  </si>
  <si>
    <t>Wahrscheinlichkeit</t>
  </si>
  <si>
    <t>Quelle</t>
  </si>
  <si>
    <t>PT nach Floor (≥0)</t>
  </si>
  <si>
    <t>Bull</t>
  </si>
  <si>
    <t>'DCF Bull'!K122</t>
  </si>
  <si>
    <t>Base</t>
  </si>
  <si>
    <t>'DCF Base'!K122</t>
  </si>
  <si>
    <t>Bear</t>
  </si>
  <si>
    <t>'DCF Bear'!K122</t>
  </si>
  <si>
    <t>#0a: Cases fließen ROH in die Gewichtung (Spalte B — ein negativer Bear trägt sein Downside); Floor (≥0) nur auf dem Aggregat. Spalte E = Anzeige je realisiertem Case.</t>
  </si>
  <si>
    <t>Gewichtetes Kursziel (Headline)</t>
  </si>
  <si>
    <t>Rohwert (vor 0-Floor):</t>
  </si>
  <si>
    <t>Sentiment (Wahrscheinlichkeits-Quelle)</t>
  </si>
  <si>
    <t>positive</t>
  </si>
  <si>
    <t>Markt-implizit — Was muss passieren, damit der Kurs fair value ist?</t>
  </si>
  <si>
    <t>REIN ERKLÄREND, keine Bewertung. Kalibrierter Group-DCF: Base = Headline-PT (exakt), jede Hebel-Spalte = Marktpreis (exakt). Vereinfachte Group-Sicht; volle Segment-Granularität in den DCF-Sheets.</t>
  </si>
  <si>
    <t>Aktueller Kurs (Markt)</t>
  </si>
  <si>
    <t>Intrinsisch (Headline-PT)</t>
  </si>
  <si>
    <t>Divergenz (intrinsisch vs Markt)</t>
  </si>
  <si>
    <t>Trigger (|Divergenz| &gt; 25% ⇒ Analyse)</t>
  </si>
  <si>
    <t>JA — Analyse aktiv</t>
  </si>
  <si>
    <t>Impl. CAGR</t>
  </si>
  <si>
    <t>Impl. Marge</t>
  </si>
  <si>
    <t>Impl. WACC</t>
  </si>
  <si>
    <t>Group-Revenue Y0 (Mio.)</t>
  </si>
  <si>
    <t>Revenue-CAGR</t>
  </si>
  <si>
    <t>EBIT-Marge Y1</t>
  </si>
  <si>
    <t>Terminal-Marge (Y5)</t>
  </si>
  <si>
    <t>Net-Capex / Revenue</t>
  </si>
  <si>
    <t>WACC (Diskontierung)</t>
  </si>
  <si>
    <t>Steuersatz</t>
  </si>
  <si>
    <t>+ Aggregations-Bridge (Mio.)</t>
  </si>
  <si>
    <t>+ Bilanz/Overhead/CF/Binary/Szen. (Mio.)</t>
  </si>
  <si>
    <t>Aktien (Mio.)</t>
  </si>
  <si>
    <t>Revenue Y1</t>
  </si>
  <si>
    <t>Revenue Y2</t>
  </si>
  <si>
    <t>Revenue Y3</t>
  </si>
  <si>
    <t>Revenue Y4</t>
  </si>
  <si>
    <t>Revenue Y5</t>
  </si>
  <si>
    <t>Revenue Y6</t>
  </si>
  <si>
    <t>Revenue Y7</t>
  </si>
  <si>
    <t>Revenue Y8</t>
  </si>
  <si>
    <t>Revenue Y9</t>
  </si>
  <si>
    <t>Revenue Y10</t>
  </si>
  <si>
    <t>FCF Y1</t>
  </si>
  <si>
    <t>FCF Y2</t>
  </si>
  <si>
    <t>FCF Y3</t>
  </si>
  <si>
    <t>FCF Y4</t>
  </si>
  <si>
    <t>FCF Y5</t>
  </si>
  <si>
    <t>FCF Y6</t>
  </si>
  <si>
    <t>FCF Y7</t>
  </si>
  <si>
    <t>FCF Y8</t>
  </si>
  <si>
    <t>FCF Y9</t>
  </si>
  <si>
    <t>FCF Y10</t>
  </si>
  <si>
    <t>Group-DCF-EV</t>
  </si>
  <si>
    <t>Equity (EV + Bridges)</t>
  </si>
  <si>
    <t>Kursziel / Aktie</t>
  </si>
  <si>
    <t>PT − Ziel (Base=Headline, Hebel=Markt ⇒ ≈0)</t>
  </si>
  <si>
    <t>── Handels-Multiples (Yahoo Finance) — Kontext, KEINE Bewertung ──</t>
  </si>
  <si>
    <t>EV/Sales (primär — SBC-agnostisch)</t>
  </si>
  <si>
    <t>EV/EBITDA (nachrichtl., SBC-verzerrt)</t>
  </si>
  <si>
    <t>KGV trailing (nachrichtl., SBC-verzerrt)</t>
  </si>
  <si>
    <t>KGV forward</t>
  </si>
  <si>
    <t>Kurs/Buchwert</t>
  </si>
  <si>
    <t>EV/Sales-Historie (~5J, indikativ; split-bereinigt)</t>
  </si>
  <si>
    <t>Jahr</t>
  </si>
  <si>
    <t>EV/Sales</t>
  </si>
  <si>
    <t>── EV/EBITDA: Markt heute vs unser Kursziel vs 5J-Eigenhistorie — deskriptiv, KEIN Kursziel ──</t>
  </si>
  <si>
    <t>EV am Marktpreis (Group, Mio.)</t>
  </si>
  <si>
    <t>EV an unserem Kursziel (Group, Mio.)</t>
  </si>
  <si>
    <t>Group-EBITDA trailing (Mio.)</t>
  </si>
  <si>
    <t>Group-EBITDA t+1 (unsere Y1-Schätzung, Mio.)</t>
  </si>
  <si>
    <t>EV/EBITDA — Markt heute (trailing)</t>
  </si>
  <si>
    <t>EV/EBITDA — unser Kursziel (trailing)</t>
  </si>
  <si>
    <t>EV/EBITDA — Markt heute (t+1)</t>
  </si>
  <si>
    <t>EV/EBITDA — unser Kursziel (t+1)</t>
  </si>
  <si>
    <t>Eigene 5J-EV/EBITDA-Spanne (indikativ) — Anker für die Einordnung</t>
  </si>
  <si>
    <t>5J Minimum</t>
  </si>
  <si>
    <t>5J Median</t>
  </si>
  <si>
    <t>5J Maximum</t>
  </si>
  <si>
    <t>Markt vs unsere Annahmen</t>
  </si>
  <si>
    <t>Markt diskontiert ggü. unseren Annahmen</t>
  </si>
  <si>
    <t>Einordnung</t>
  </si>
  <si>
    <t>Der Markt zahlt heute rund 13.7x EV/EBITDA (trailing). Unser Kursziel entspricht rund 30.0x auf dem heutigen EBITDA (gleiche Basis, direkt mit der eigenen Historie vergleichbar). Das Markt-Niveau liegt im unteren Bereich der eigenen 5J-Spanne (14.9x bis 29.7x). Der Markt diskontiert rund 119% gegenüber unseren Annahmen (er ist pessimistischer als unser Modell). Auf unserer Ergebnisschätzung für das kommende Jahr (t+1) entspricht das Kursziel rund 20.1x, der Markt 9.2x (anderer Nenner, nicht mit der Historie vergleichbar). Die Peer-Gruppe handelt bei 9.3–21.8x (Median 12.8x, trailing).</t>
  </si>
  <si>
    <t>── Peer-Gruppe: β-Herleitung (3J-Regression, Blume, unlevered) + Multiples-Band — deskriptiv ──</t>
  </si>
  <si>
    <t>β unlevered — Peer-Median (im WACC verwendet)</t>
  </si>
  <si>
    <t>Peer EV/EBITDA min / median / max (trailing)</t>
  </si>
  <si>
    <t>Peer</t>
  </si>
  <si>
    <t>β unlev</t>
  </si>
  <si>
    <t>β lev</t>
  </si>
  <si>
    <t>D/E (Markt)</t>
  </si>
  <si>
    <t>EV/EBITDA</t>
  </si>
  <si>
    <t>CRM</t>
  </si>
  <si>
    <t>ORCL</t>
  </si>
  <si>
    <t>INTU</t>
  </si>
  <si>
    <t>WDAY</t>
  </si>
  <si>
    <t>ADBE</t>
  </si>
  <si>
    <t>Named-Range Targets (für sotp_valuation.py)</t>
  </si>
  <si>
    <t>Diese Sheet ist nur ein Index — die echten Werte stehen in Inputs/DCF.</t>
  </si>
  <si>
    <t>OUT_WACC (EV-weighted avg)</t>
  </si>
  <si>
    <t>'DCF Base'!K110</t>
  </si>
  <si>
    <t>OUT_NET_DEBT</t>
  </si>
  <si>
    <t>Inputs!B14</t>
  </si>
  <si>
    <t>OUT_MINORITY</t>
  </si>
  <si>
    <t>Inputs!B15</t>
  </si>
  <si>
    <t>OUT_SHARES</t>
  </si>
  <si>
    <t>Inputs!B11</t>
  </si>
  <si>
    <t>OUT_GROUP_EV</t>
  </si>
  <si>
    <t>'DCF Base'!K109</t>
  </si>
  <si>
    <t>OUT_EQUITY</t>
  </si>
  <si>
    <t>'DCF Base'!K119</t>
  </si>
  <si>
    <t>OUT_PRICE_TARGET</t>
  </si>
  <si>
    <t>OUT_SEG_EV_i</t>
  </si>
  <si>
    <t>'DCF Base'!C..J109 (i=1..8)</t>
  </si>
  <si>
    <t>OUT_SEG_WACC_i</t>
  </si>
  <si>
    <t>'DCF Base'!C..J16 (i=1..8)</t>
  </si>
  <si>
    <t>— Szenario-PTs —</t>
  </si>
  <si>
    <t>(Szenarien-Sheet, live ref auf je DCF-Sheet)</t>
  </si>
  <si>
    <t>DCF Bull → PT</t>
  </si>
  <si>
    <t>DCF Base → PT</t>
  </si>
  <si>
    <t>DCF Bear →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</si>
</sst>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&quot;x&quot;"/>
    <numFmt numFmtId="166" formatCode="0.00&quot;x&quot;"/>
    <numFmt numFmtId="167" formatCode="0.0"/>
  </numFmts>
  <fonts count="11" x14ac:knownFonts="1">
    <font>
      <sz val="11"/>
      <color theme="1"/>
      <name val="Calibri"/>
      <family val="2"/>
      <scheme val="minor"/>
    </font>
    <font>
      <b/>
      <sz val="14"/>
      <name val="Calibri"/>
    </font>
    <font>
      <i/>
      <sz val="11"/>
      <color rgb="FF666666"/>
      <name val="Calibri"/>
    </font>
    <font>
      <b/>
      <sz val="11"/>
      <name val="Calibri"/>
    </font>
    <font>
      <i/>
      <sz val="11"/>
      <color rgb="FF886600"/>
      <name val="Calibri"/>
    </font>
    <font>
      <i/>
      <sz val="11"/>
      <color rgb="FFCC5500"/>
      <name val="Calibri"/>
    </font>
    <font>
      <i/>
      <sz val="9"/>
      <name val="Calibri"/>
    </font>
    <font>
      <b/>
      <sz val="12"/>
      <color rgb="FF0B5C2E"/>
      <name val="Calibri"/>
    </font>
    <font>
      <b/>
      <sz val="13"/>
      <name val="Calibri"/>
    </font>
    <font>
      <b/>
      <sz val="12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2A0"/>
      </patternFill>
    </fill>
    <fill>
      <patternFill patternType="solid">
        <fgColor rgb="FFDCE6F2"/>
      </patternFill>
    </fill>
    <fill>
      <patternFill patternType="solid">
        <fgColor rgb="FFC8E6C9"/>
      </patternFill>
    </fill>
    <fill>
      <patternFill patternType="solid">
        <fgColor rgb="FFFFE0B2"/>
      </patternFill>
    </fill>
    <fill>
      <patternFill patternType="solid">
        <fgColor rgb="FFFFF2A0"/>
      </patternFill>
    </fill>
    <fill>
      <patternFill patternType="solid">
        <fgColor rgb="FFDCE6F2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4" fontId="0" fillId="3" borderId="1" xfId="0" applyNumberFormat="1" applyFill="1" applyBorder="1"/>
    <xf numFmtId="4" fontId="0" fillId="4" borderId="1" xfId="0" applyNumberFormat="1" applyFill="1" applyBorder="1"/>
    <xf numFmtId="10" fontId="0" fillId="3" borderId="1" xfId="0" applyNumberFormat="1" applyFill="1" applyBorder="1"/>
    <xf numFmtId="0" fontId="2" fillId="2" borderId="0" xfId="0" applyFont="1" applyFill="1"/>
    <xf numFmtId="2" fontId="0" fillId="3" borderId="1" xfId="0" applyNumberFormat="1" applyFill="1" applyBorder="1"/>
    <xf numFmtId="2" fontId="0" fillId="4" borderId="1" xfId="0" applyNumberFormat="1" applyFill="1" applyBorder="1"/>
    <xf numFmtId="10" fontId="0" fillId="4" borderId="1" xfId="0" applyNumberFormat="1" applyFill="1" applyBorder="1"/>
    <xf numFmtId="10" fontId="3" fillId="5" borderId="1" xfId="0" applyNumberFormat="1" applyFont="1" applyFill="1" applyBorder="1"/>
    <xf numFmtId="0" fontId="3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10" fontId="0" fillId="2" borderId="1" xfId="0" applyNumberFormat="1" applyFill="1" applyBorder="1"/>
    <xf numFmtId="0" fontId="4" fillId="0" borderId="0" xfId="0" applyFont="1"/>
    <xf numFmtId="0" fontId="5" fillId="0" borderId="0" xfId="0" applyFont="1"/>
    <xf numFmtId="0" fontId="6" fillId="6" borderId="1" xfId="0" applyFont="1" applyFill="1" applyBorder="1" applyAlignment="1">
      <alignment horizontal="left" vertical="top" wrapText="1"/>
    </xf>
    <xf numFmtId="0" fontId="3" fillId="5" borderId="0" xfId="0" applyFont="1" applyFill="1"/>
    <xf numFmtId="4" fontId="3" fillId="5" borderId="1" xfId="0" applyNumberFormat="1" applyFont="1" applyFill="1" applyBorder="1"/>
    <xf numFmtId="4" fontId="7" fillId="5" borderId="1" xfId="0" applyNumberFormat="1" applyFont="1" applyFill="1" applyBorder="1"/>
    <xf numFmtId="0" fontId="3" fillId="2" borderId="1" xfId="0" applyFont="1" applyFill="1" applyBorder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vertical="top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0" fontId="8" fillId="0" borderId="0" xfId="0" applyFont="1"/>
    <xf numFmtId="164" fontId="0" fillId="4" borderId="1" xfId="0" applyNumberFormat="1" applyFill="1" applyBorder="1"/>
    <xf numFmtId="0" fontId="0" fillId="4" borderId="0" xfId="0" applyFill="1"/>
    <xf numFmtId="0" fontId="3" fillId="2" borderId="0" xfId="0" applyFont="1" applyFill="1"/>
    <xf numFmtId="4" fontId="0" fillId="5" borderId="1" xfId="0" applyNumberFormat="1" applyFill="1" applyBorder="1"/>
    <xf numFmtId="165" fontId="0" fillId="5" borderId="1" xfId="0" applyNumberFormat="1" applyFill="1" applyBorder="1"/>
    <xf numFmtId="0" fontId="9" fillId="0" borderId="0" xfId="0" applyFont="1"/>
    <xf numFmtId="0" fontId="10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0" fontId="0" fillId="8" borderId="2" xfId="0" applyFill="1" applyBorder="1"/>
    <xf numFmtId="4" fontId="0" fillId="3" borderId="2" xfId="0" applyNumberFormat="1" applyFill="1" applyBorder="1"/>
    <xf numFmtId="0" fontId="0" fillId="4" borderId="2" xfId="0" applyFill="1" applyBorder="1"/>
    <xf numFmtId="3" fontId="0" fillId="3" borderId="2" xfId="0" applyNumberFormat="1" applyFill="1" applyBorder="1"/>
    <xf numFmtId="10" fontId="0" fillId="3" borderId="2" xfId="0" applyNumberFormat="1" applyFill="1" applyBorder="1"/>
    <xf numFmtId="10" fontId="0" fillId="7" borderId="2" xfId="0" applyNumberFormat="1" applyFill="1" applyBorder="1"/>
    <xf numFmtId="166" fontId="0" fillId="4" borderId="2" xfId="0" applyNumberFormat="1" applyFill="1" applyBorder="1"/>
    <xf numFmtId="165" fontId="0" fillId="4" borderId="2" xfId="0" applyNumberFormat="1" applyFill="1" applyBorder="1"/>
    <xf numFmtId="167" fontId="0" fillId="4" borderId="2" xfId="0" applyNumberFormat="1" applyFill="1" applyBorder="1"/>
    <xf numFmtId="0" fontId="0" fillId="0" borderId="2" xfId="0" applyBorder="1"/>
    <xf numFmtId="166" fontId="0" fillId="0" borderId="2" xfId="0" applyNumberFormat="1" applyBorder="1"/>
    <xf numFmtId="3" fontId="0" fillId="4" borderId="2" xfId="0" applyNumberFormat="1" applyFill="1" applyBorder="1"/>
    <xf numFmtId="0" fontId="0" fillId="5" borderId="2" xfId="0" applyFill="1" applyBorder="1"/>
    <xf numFmtId="2" fontId="0" fillId="5" borderId="2" xfId="0" applyNumberFormat="1" applyFill="1" applyBorder="1"/>
    <xf numFmtId="2" fontId="0" fillId="0" borderId="2" xfId="0" applyNumberFormat="1" applyBorder="1"/>
    <xf numFmtId="165" fontId="0" fillId="0" borderId="2" xfId="0" applyNumberForma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/>
  </sheetViews>
  <sheetFormatPr baseColWidth="10" defaultColWidth="9.140625" defaultRowHeight="15" x14ac:dyDescent="0.25"/>
  <cols>
    <col min="1" max="1" width="32" customWidth="1"/>
    <col min="2" max="2" width="18" customWidth="1"/>
    <col min="3" max="3" width="60" customWidth="1"/>
  </cols>
  <sheetData>
    <row r="1" spans="1:2" ht="18.75" customHeight="1" x14ac:dyDescent="0.3">
      <c r="A1" s="1" t="s">
        <v>0</v>
      </c>
    </row>
    <row r="2" spans="1:2" x14ac:dyDescent="0.25">
      <c r="A2" s="2" t="s">
        <v>1</v>
      </c>
    </row>
    <row r="4" spans="1:2" x14ac:dyDescent="0.25">
      <c r="A4" s="3" t="s">
        <v>2</v>
      </c>
    </row>
    <row r="5" spans="1:2" x14ac:dyDescent="0.25">
      <c r="A5" s="4" t="s">
        <v>3</v>
      </c>
      <c r="B5" t="s">
        <v>4</v>
      </c>
    </row>
    <row r="6" spans="1:2" x14ac:dyDescent="0.25">
      <c r="A6" s="4" t="s">
        <v>5</v>
      </c>
      <c r="B6" t="s">
        <v>6</v>
      </c>
    </row>
    <row r="7" spans="1:2" x14ac:dyDescent="0.25">
      <c r="A7" s="4" t="s">
        <v>7</v>
      </c>
      <c r="B7" t="s">
        <v>8</v>
      </c>
    </row>
    <row r="8" spans="1:2" x14ac:dyDescent="0.25">
      <c r="A8" s="4" t="s">
        <v>9</v>
      </c>
      <c r="B8" t="s">
        <v>10</v>
      </c>
    </row>
    <row r="10" spans="1:2" x14ac:dyDescent="0.25">
      <c r="A10" s="3" t="s">
        <v>11</v>
      </c>
    </row>
    <row r="11" spans="1:2" x14ac:dyDescent="0.25">
      <c r="A11" s="4" t="s">
        <v>12</v>
      </c>
      <c r="B11" s="5">
        <v>1166</v>
      </c>
    </row>
    <row r="12" spans="1:2" x14ac:dyDescent="0.25">
      <c r="A12" s="4" t="s">
        <v>13</v>
      </c>
      <c r="B12" s="5">
        <v>8220</v>
      </c>
    </row>
    <row r="13" spans="1:2" x14ac:dyDescent="0.25">
      <c r="A13" s="4" t="s">
        <v>14</v>
      </c>
      <c r="B13" s="5">
        <v>4839</v>
      </c>
    </row>
    <row r="14" spans="1:2" x14ac:dyDescent="0.25">
      <c r="A14" s="4" t="s">
        <v>15</v>
      </c>
      <c r="B14" s="6">
        <f>B13-B12</f>
        <v>-3381</v>
      </c>
    </row>
    <row r="15" spans="1:2" x14ac:dyDescent="0.25">
      <c r="A15" s="4" t="s">
        <v>16</v>
      </c>
      <c r="B15" s="5">
        <v>500</v>
      </c>
    </row>
    <row r="17" spans="1:3" x14ac:dyDescent="0.25">
      <c r="A17" s="3" t="s">
        <v>17</v>
      </c>
      <c r="C17" s="2" t="s">
        <v>18</v>
      </c>
    </row>
    <row r="18" spans="1:3" x14ac:dyDescent="0.25">
      <c r="A18" s="4" t="s">
        <v>19</v>
      </c>
      <c r="B18" s="7">
        <v>2.5000000000000001E-2</v>
      </c>
      <c r="C18" s="8" t="s">
        <v>20</v>
      </c>
    </row>
    <row r="19" spans="1:3" x14ac:dyDescent="0.25">
      <c r="A19" s="4" t="s">
        <v>21</v>
      </c>
      <c r="B19" s="7">
        <v>5.6724999999999998E-2</v>
      </c>
      <c r="C19" s="8" t="s">
        <v>22</v>
      </c>
    </row>
    <row r="20" spans="1:3" x14ac:dyDescent="0.25">
      <c r="A20" s="4" t="s">
        <v>23</v>
      </c>
      <c r="B20" s="9">
        <v>0.96</v>
      </c>
      <c r="C20" s="8" t="s">
        <v>24</v>
      </c>
    </row>
    <row r="21" spans="1:3" x14ac:dyDescent="0.25">
      <c r="A21" s="4" t="s">
        <v>25</v>
      </c>
      <c r="B21" s="9">
        <v>2.8000000000000001E-2</v>
      </c>
      <c r="C21" s="8" t="s">
        <v>26</v>
      </c>
    </row>
    <row r="22" spans="1:3" x14ac:dyDescent="0.25">
      <c r="A22" s="4" t="s">
        <v>27</v>
      </c>
      <c r="B22" s="7">
        <v>0.28699999999999998</v>
      </c>
      <c r="C22" s="8" t="s">
        <v>28</v>
      </c>
    </row>
    <row r="23" spans="1:3" x14ac:dyDescent="0.25">
      <c r="A23" s="4" t="s">
        <v>29</v>
      </c>
      <c r="B23" s="10">
        <f>(1-0.33)*(B20*(1+(1-B22)*B21))+0.33</f>
        <v>0.98604084479999998</v>
      </c>
    </row>
    <row r="24" spans="1:3" x14ac:dyDescent="0.25">
      <c r="A24" s="4" t="s">
        <v>30</v>
      </c>
      <c r="B24" s="7">
        <v>2E-3</v>
      </c>
      <c r="C24" s="8" t="s">
        <v>31</v>
      </c>
    </row>
    <row r="25" spans="1:3" x14ac:dyDescent="0.25">
      <c r="A25" s="4" t="s">
        <v>32</v>
      </c>
      <c r="B25" s="7">
        <v>0</v>
      </c>
      <c r="C25" s="8" t="s">
        <v>33</v>
      </c>
    </row>
    <row r="26" spans="1:3" x14ac:dyDescent="0.25">
      <c r="A26" s="4" t="s">
        <v>34</v>
      </c>
      <c r="B26" s="11">
        <f>MAX(B18+B23*B19+B24+B25+B39,MIN(B27,0.08)+0.025)</f>
        <v>8.2933166921279999E-2</v>
      </c>
    </row>
    <row r="27" spans="1:3" x14ac:dyDescent="0.25">
      <c r="A27" s="4" t="s">
        <v>35</v>
      </c>
      <c r="B27" s="7">
        <v>3.3000000000000002E-2</v>
      </c>
      <c r="C27" s="8" t="s">
        <v>36</v>
      </c>
    </row>
    <row r="28" spans="1:3" x14ac:dyDescent="0.25">
      <c r="A28" s="4" t="s">
        <v>37</v>
      </c>
      <c r="B28" s="11">
        <f>B27*(1-B22)</f>
        <v>2.3529000000000005E-2</v>
      </c>
    </row>
    <row r="29" spans="1:3" x14ac:dyDescent="0.25">
      <c r="A29" s="4" t="s">
        <v>38</v>
      </c>
      <c r="B29" s="11">
        <f>1/(1+B21)</f>
        <v>0.97276264591439687</v>
      </c>
    </row>
    <row r="30" spans="1:3" x14ac:dyDescent="0.25">
      <c r="A30" s="4" t="s">
        <v>39</v>
      </c>
      <c r="B30" s="11">
        <f>B21/(1+B21)</f>
        <v>2.7237354085603113E-2</v>
      </c>
    </row>
    <row r="31" spans="1:3" x14ac:dyDescent="0.25">
      <c r="A31" s="4" t="s">
        <v>40</v>
      </c>
      <c r="B31" s="12">
        <f>MAX(B26*B29+B28*B30,B35)</f>
        <v>8.1315154592684818E-2</v>
      </c>
    </row>
    <row r="32" spans="1:3" x14ac:dyDescent="0.25">
      <c r="A32" s="3" t="s">
        <v>41</v>
      </c>
    </row>
    <row r="33" spans="1:3" x14ac:dyDescent="0.25">
      <c r="A33" s="4" t="s">
        <v>42</v>
      </c>
      <c r="B33" s="7">
        <v>0.02</v>
      </c>
    </row>
    <row r="34" spans="1:3" x14ac:dyDescent="0.25">
      <c r="A34" s="4" t="s">
        <v>43</v>
      </c>
      <c r="B34" s="7">
        <v>0.01</v>
      </c>
    </row>
    <row r="35" spans="1:3" x14ac:dyDescent="0.25">
      <c r="A35" s="4" t="s">
        <v>44</v>
      </c>
      <c r="B35" s="7">
        <v>7.0099999999999996E-2</v>
      </c>
      <c r="C35" s="8" t="s">
        <v>45</v>
      </c>
    </row>
    <row r="36" spans="1:3" x14ac:dyDescent="0.25">
      <c r="A36" s="4" t="s">
        <v>46</v>
      </c>
      <c r="B36" s="7">
        <v>2.7199999999999998E-2</v>
      </c>
      <c r="C36" s="8" t="s">
        <v>47</v>
      </c>
    </row>
    <row r="37" spans="1:3" x14ac:dyDescent="0.25">
      <c r="A37" s="4" t="s">
        <v>48</v>
      </c>
      <c r="B37" s="11">
        <f>B18+0.008+0.02*B36</f>
        <v>3.3544000000000004E-2</v>
      </c>
      <c r="C37" s="8" t="s">
        <v>49</v>
      </c>
    </row>
    <row r="38" spans="1:3" x14ac:dyDescent="0.25">
      <c r="A38" s="4" t="s">
        <v>50</v>
      </c>
      <c r="B38" s="11">
        <f>B37*(1-B22)</f>
        <v>2.3916872000000006E-2</v>
      </c>
    </row>
    <row r="39" spans="1:3" x14ac:dyDescent="0.25">
      <c r="A39" s="4" t="s">
        <v>51</v>
      </c>
      <c r="B39" s="7">
        <v>0</v>
      </c>
      <c r="C39" s="8" t="s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2"/>
  <sheetViews>
    <sheetView workbookViewId="0"/>
  </sheetViews>
  <sheetFormatPr baseColWidth="10" defaultColWidth="9.140625" defaultRowHeight="15" x14ac:dyDescent="0.25"/>
  <cols>
    <col min="1" max="1" width="30" customWidth="1"/>
    <col min="2" max="2" width="4" customWidth="1"/>
    <col min="3" max="11" width="14" customWidth="1"/>
  </cols>
  <sheetData>
    <row r="1" spans="1:11" ht="18.75" customHeight="1" x14ac:dyDescent="0.3">
      <c r="A1" s="1" t="s">
        <v>53</v>
      </c>
    </row>
    <row r="2" spans="1:11" x14ac:dyDescent="0.25">
      <c r="A2" s="2" t="s">
        <v>54</v>
      </c>
    </row>
    <row r="3" spans="1:11" x14ac:dyDescent="0.25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25">
      <c r="A4" s="4" t="s">
        <v>64</v>
      </c>
      <c r="C4" s="14" t="s">
        <v>55</v>
      </c>
      <c r="D4" s="14" t="s">
        <v>56</v>
      </c>
      <c r="E4" s="14"/>
      <c r="F4" s="14"/>
      <c r="G4" s="14"/>
      <c r="H4" s="14"/>
      <c r="I4" s="14"/>
      <c r="J4" s="14"/>
    </row>
    <row r="5" spans="1:11" x14ac:dyDescent="0.25">
      <c r="A5" s="4" t="s">
        <v>65</v>
      </c>
      <c r="C5" s="5">
        <v>32847</v>
      </c>
      <c r="D5" s="5">
        <v>3953</v>
      </c>
      <c r="E5" s="5"/>
      <c r="F5" s="5"/>
      <c r="G5" s="5"/>
      <c r="H5" s="5"/>
      <c r="I5" s="5"/>
      <c r="J5" s="5"/>
    </row>
    <row r="6" spans="1:11" x14ac:dyDescent="0.25">
      <c r="A6" s="4" t="s">
        <v>66</v>
      </c>
      <c r="C6" s="7">
        <v>0.115</v>
      </c>
      <c r="D6" s="7">
        <v>0.03</v>
      </c>
      <c r="E6" s="7"/>
      <c r="F6" s="7"/>
      <c r="G6" s="7"/>
      <c r="H6" s="7"/>
      <c r="I6" s="7"/>
      <c r="J6" s="7"/>
    </row>
    <row r="7" spans="1:11" x14ac:dyDescent="0.25">
      <c r="A7" s="4" t="s">
        <v>67</v>
      </c>
      <c r="C7" s="7">
        <v>0.40600000000000003</v>
      </c>
      <c r="D7" s="7">
        <v>0.1</v>
      </c>
      <c r="E7" s="7"/>
      <c r="F7" s="7"/>
      <c r="G7" s="7"/>
      <c r="H7" s="7"/>
      <c r="I7" s="7"/>
      <c r="J7" s="7"/>
    </row>
    <row r="8" spans="1:11" x14ac:dyDescent="0.25">
      <c r="A8" s="4" t="s">
        <v>68</v>
      </c>
      <c r="C8" s="15">
        <v>0.40600000000000003</v>
      </c>
      <c r="D8" s="15">
        <v>0.109</v>
      </c>
      <c r="E8" s="15"/>
      <c r="F8" s="15"/>
      <c r="G8" s="15"/>
      <c r="H8" s="15"/>
      <c r="I8" s="15"/>
      <c r="J8" s="15"/>
    </row>
    <row r="9" spans="1:11" x14ac:dyDescent="0.25">
      <c r="A9" s="4" t="s">
        <v>69</v>
      </c>
      <c r="C9" s="7">
        <v>0.42</v>
      </c>
      <c r="D9" s="7">
        <v>0.113</v>
      </c>
      <c r="E9" s="7"/>
      <c r="F9" s="7"/>
      <c r="G9" s="7"/>
      <c r="H9" s="7"/>
      <c r="I9" s="7"/>
      <c r="J9" s="7"/>
    </row>
    <row r="10" spans="1:11" x14ac:dyDescent="0.25">
      <c r="A10" s="4" t="s">
        <v>70</v>
      </c>
      <c r="C10" s="7">
        <v>0.02</v>
      </c>
      <c r="D10" s="7">
        <v>5.0000000000000001E-3</v>
      </c>
      <c r="E10" s="7"/>
      <c r="F10" s="7"/>
      <c r="G10" s="7"/>
      <c r="H10" s="7"/>
      <c r="I10" s="7"/>
      <c r="J10" s="7"/>
    </row>
    <row r="11" spans="1:11" x14ac:dyDescent="0.25">
      <c r="A11" s="4" t="s">
        <v>71</v>
      </c>
      <c r="C11" s="7">
        <v>2.1000000000000001E-2</v>
      </c>
      <c r="D11" s="7">
        <v>3.0000000000000001E-3</v>
      </c>
      <c r="E11" s="7"/>
      <c r="F11" s="7"/>
      <c r="G11" s="7"/>
      <c r="H11" s="7"/>
      <c r="I11" s="7"/>
      <c r="J11" s="7"/>
    </row>
    <row r="12" spans="1:11" x14ac:dyDescent="0.25">
      <c r="A12" s="4" t="s">
        <v>72</v>
      </c>
      <c r="C12" s="7">
        <v>4.0000000000000001E-3</v>
      </c>
      <c r="D12" s="7">
        <v>2E-3</v>
      </c>
      <c r="E12" s="7"/>
      <c r="F12" s="7"/>
      <c r="G12" s="7"/>
      <c r="H12" s="7"/>
      <c r="I12" s="7"/>
      <c r="J12" s="7"/>
    </row>
    <row r="13" spans="1:11" x14ac:dyDescent="0.25">
      <c r="A13" s="4" t="s">
        <v>73</v>
      </c>
      <c r="C13" s="7">
        <v>0.03</v>
      </c>
      <c r="D13" s="7">
        <v>0.02</v>
      </c>
      <c r="E13" s="7"/>
      <c r="F13" s="7"/>
      <c r="G13" s="7"/>
      <c r="H13" s="7"/>
      <c r="I13" s="7"/>
      <c r="J13" s="7"/>
    </row>
    <row r="14" spans="1:11" x14ac:dyDescent="0.25">
      <c r="A14" s="4" t="s">
        <v>74</v>
      </c>
      <c r="C14" s="9">
        <v>0.96</v>
      </c>
      <c r="D14" s="9">
        <v>0.96</v>
      </c>
      <c r="E14" s="9"/>
      <c r="F14" s="9"/>
      <c r="G14" s="9"/>
      <c r="H14" s="9"/>
      <c r="I14" s="9"/>
      <c r="J14" s="9"/>
    </row>
    <row r="15" spans="1:11" x14ac:dyDescent="0.25">
      <c r="A15" s="4" t="s">
        <v>75</v>
      </c>
      <c r="C15" s="7">
        <v>7.0099999999999996E-2</v>
      </c>
      <c r="D15" s="7">
        <v>7.0099999999999996E-2</v>
      </c>
      <c r="E15" s="7"/>
      <c r="F15" s="7"/>
      <c r="G15" s="7"/>
      <c r="H15" s="7"/>
      <c r="I15" s="7"/>
      <c r="J15" s="7"/>
    </row>
    <row r="16" spans="1:11" x14ac:dyDescent="0.25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8.1315154592684818E-2</v>
      </c>
      <c r="D16" s="11">
        <f>MAX((MAX(Inputs!B18+((1-0.33)*D14*(1+(1-Inputs!B22)*Inputs!B21)+0.33)*Inputs!B19+IF(ISBLANK(D17),Inputs!B24,D17)+Inputs!B25+Inputs!B39,MIN(Inputs!B27,0.08)+0.025))*Inputs!B29+Inputs!B28*Inputs!B30,D15)</f>
        <v>8.1315154592684818E-2</v>
      </c>
      <c r="E16" s="11">
        <f>MAX((MAX(Inputs!B18+((1-0.33)*E14*(1+(1-Inputs!B22)*Inputs!B21)+0.33)*Inputs!B19+IF(ISBLANK(E17),Inputs!B24,E17)+Inputs!B25+Inputs!B39,MIN(Inputs!B27,0.08)+0.025))*Inputs!B29+Inputs!B28*Inputs!B30,E15)</f>
        <v>5.7061101167315179E-2</v>
      </c>
      <c r="F16" s="11">
        <f>MAX((MAX(Inputs!B18+((1-0.33)*F14*(1+(1-Inputs!B22)*Inputs!B21)+0.33)*Inputs!B19+IF(ISBLANK(F17),Inputs!B24,F17)+Inputs!B25+Inputs!B39,MIN(Inputs!B27,0.08)+0.025))*Inputs!B29+Inputs!B28*Inputs!B30,F15)</f>
        <v>5.7061101167315179E-2</v>
      </c>
      <c r="G16" s="11">
        <f>MAX((MAX(Inputs!B18+((1-0.33)*G14*(1+(1-Inputs!B22)*Inputs!B21)+0.33)*Inputs!B19+IF(ISBLANK(G17),Inputs!B24,G17)+Inputs!B25+Inputs!B39,MIN(Inputs!B27,0.08)+0.025))*Inputs!B29+Inputs!B28*Inputs!B30,G15)</f>
        <v>5.7061101167315179E-2</v>
      </c>
      <c r="H16" s="11">
        <f>MAX((MAX(Inputs!B18+((1-0.33)*H14*(1+(1-Inputs!B22)*Inputs!B21)+0.33)*Inputs!B19+IF(ISBLANK(H17),Inputs!B24,H17)+Inputs!B25+Inputs!B39,MIN(Inputs!B27,0.08)+0.025))*Inputs!B29+Inputs!B28*Inputs!B30,H15)</f>
        <v>5.7061101167315179E-2</v>
      </c>
      <c r="I16" s="11">
        <f>MAX((MAX(Inputs!B18+((1-0.33)*I14*(1+(1-Inputs!B22)*Inputs!B21)+0.33)*Inputs!B19+IF(ISBLANK(I17),Inputs!B24,I17)+Inputs!B25+Inputs!B39,MIN(Inputs!B27,0.08)+0.025))*Inputs!B29+Inputs!B28*Inputs!B30,I15)</f>
        <v>5.7061101167315179E-2</v>
      </c>
      <c r="J16" s="11">
        <f>MAX((MAX(Inputs!B18+((1-0.33)*J14*(1+(1-Inputs!B22)*Inputs!B21)+0.33)*Inputs!B19+IF(ISBLANK(J17),Inputs!B24,J17)+Inputs!B25+Inputs!B39,MIN(Inputs!B27,0.08)+0.025))*Inputs!B29+Inputs!B28*Inputs!B30,J15)</f>
        <v>5.7061101167315179E-2</v>
      </c>
    </row>
    <row r="17" spans="1:10" x14ac:dyDescent="0.25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39.950000000000003" customHeight="1" x14ac:dyDescent="0.25">
      <c r="A18" s="17" t="s">
        <v>78</v>
      </c>
      <c r="C18" s="18" t="s">
        <v>79</v>
      </c>
      <c r="D18" s="18" t="s">
        <v>80</v>
      </c>
      <c r="E18" s="18"/>
      <c r="F18" s="18"/>
      <c r="G18" s="18"/>
      <c r="H18" s="18"/>
      <c r="I18" s="18"/>
      <c r="J18" s="18"/>
    </row>
    <row r="19" spans="1:10" ht="39.950000000000003" customHeight="1" x14ac:dyDescent="0.25">
      <c r="A19" s="17" t="s">
        <v>81</v>
      </c>
      <c r="C19" s="18" t="s">
        <v>82</v>
      </c>
      <c r="D19" s="18" t="s">
        <v>83</v>
      </c>
      <c r="E19" s="18"/>
      <c r="F19" s="18"/>
      <c r="G19" s="18"/>
      <c r="H19" s="18"/>
      <c r="I19" s="18"/>
      <c r="J19" s="18"/>
    </row>
    <row r="20" spans="1:10" ht="27.95" customHeight="1" x14ac:dyDescent="0.25">
      <c r="A20" s="17" t="s">
        <v>84</v>
      </c>
      <c r="C20" s="18" t="s">
        <v>85</v>
      </c>
      <c r="D20" s="18" t="s">
        <v>86</v>
      </c>
      <c r="E20" s="18"/>
      <c r="F20" s="18"/>
      <c r="G20" s="18"/>
      <c r="H20" s="18"/>
      <c r="I20" s="18"/>
      <c r="J20" s="18"/>
    </row>
    <row r="21" spans="1:10" x14ac:dyDescent="0.25">
      <c r="A21" s="4" t="s">
        <v>87</v>
      </c>
      <c r="C21" s="6">
        <f t="shared" ref="C21:J21" si="0">C5*(1+C6)^1</f>
        <v>36624.404999999999</v>
      </c>
      <c r="D21" s="6">
        <f t="shared" si="0"/>
        <v>4071.59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25">
      <c r="A22" s="4" t="s">
        <v>88</v>
      </c>
      <c r="C22" s="6">
        <f t="shared" ref="C22:J22" si="1">C5*(1+C6)^2</f>
        <v>40836.211575000001</v>
      </c>
      <c r="D22" s="6">
        <f t="shared" si="1"/>
        <v>4193.7376999999997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25">
      <c r="A23" s="4" t="s">
        <v>89</v>
      </c>
      <c r="C23" s="6">
        <f t="shared" ref="C23:J23" si="2">C5*(1+C6)^3</f>
        <v>45532.375906125002</v>
      </c>
      <c r="D23" s="6">
        <f t="shared" si="2"/>
        <v>4319.5498310000003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25">
      <c r="A24" s="4" t="s">
        <v>90</v>
      </c>
      <c r="C24" s="6">
        <f t="shared" ref="C24:J24" si="3">C5*(1+C6)^4</f>
        <v>50768.599135329379</v>
      </c>
      <c r="D24" s="6">
        <f t="shared" si="3"/>
        <v>4449.1363259299997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25">
      <c r="A25" s="4" t="s">
        <v>91</v>
      </c>
      <c r="C25" s="6">
        <f t="shared" ref="C25:J25" si="4">C5*(1+C6)^5</f>
        <v>56606.98803589226</v>
      </c>
      <c r="D25" s="6">
        <f t="shared" si="4"/>
        <v>4582.6104157078989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25">
      <c r="A26" s="4" t="s">
        <v>92</v>
      </c>
      <c r="C26" s="7"/>
      <c r="D26" s="7"/>
      <c r="E26" s="7"/>
      <c r="F26" s="7"/>
      <c r="G26" s="7"/>
      <c r="H26" s="7"/>
      <c r="I26" s="7"/>
      <c r="J26" s="7"/>
    </row>
    <row r="27" spans="1:10" x14ac:dyDescent="0.25">
      <c r="A27" s="4" t="s">
        <v>93</v>
      </c>
      <c r="C27" s="11">
        <f t="shared" ref="C27:J27" si="5">IF(ISBLANK(C9),C7,C7+(C9-C7)*(0)/4)</f>
        <v>0.40600000000000003</v>
      </c>
      <c r="D27" s="11">
        <f t="shared" si="5"/>
        <v>0.1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25">
      <c r="A28" s="4" t="s">
        <v>94</v>
      </c>
      <c r="C28" s="11">
        <f t="shared" ref="C28:J28" si="6">IF(ISBLANK(C9),C7,C7+(C9-C7)*(1)/4)</f>
        <v>0.40950000000000003</v>
      </c>
      <c r="D28" s="11">
        <f t="shared" si="6"/>
        <v>0.10325000000000001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25">
      <c r="A29" s="4" t="s">
        <v>95</v>
      </c>
      <c r="C29" s="11">
        <f t="shared" ref="C29:J29" si="7">IF(ISBLANK(C9),C7,C7+(C9-C7)*(2)/4)</f>
        <v>0.41300000000000003</v>
      </c>
      <c r="D29" s="11">
        <f t="shared" si="7"/>
        <v>0.10650000000000001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25">
      <c r="A30" s="4" t="s">
        <v>96</v>
      </c>
      <c r="C30" s="11">
        <f t="shared" ref="C30:J30" si="8">IF(ISBLANK(C9),C7,C7+(C9-C7)*(3)/4)</f>
        <v>0.41649999999999998</v>
      </c>
      <c r="D30" s="11">
        <f t="shared" si="8"/>
        <v>0.10975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25">
      <c r="A31" s="4" t="s">
        <v>97</v>
      </c>
      <c r="C31" s="11">
        <f t="shared" ref="C31:J31" si="9">IF(ISBLANK(C9),C7,C7+(C9-C7)*(4)/4)</f>
        <v>0.42</v>
      </c>
      <c r="D31" s="11">
        <f t="shared" si="9"/>
        <v>0.113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25">
      <c r="A33" s="4" t="s">
        <v>98</v>
      </c>
      <c r="C33" s="6">
        <f t="shared" ref="C33:J37" si="10">C21*C27</f>
        <v>14869.50843</v>
      </c>
      <c r="D33" s="6">
        <f t="shared" si="10"/>
        <v>407.15900000000005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25">
      <c r="A34" s="4" t="s">
        <v>99</v>
      </c>
      <c r="C34" s="6">
        <f t="shared" si="10"/>
        <v>16722.428639962502</v>
      </c>
      <c r="D34" s="6">
        <f t="shared" si="10"/>
        <v>433.00341752499997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25">
      <c r="A35" s="4" t="s">
        <v>100</v>
      </c>
      <c r="C35" s="6">
        <f t="shared" si="10"/>
        <v>18804.871249229629</v>
      </c>
      <c r="D35" s="6">
        <f t="shared" si="10"/>
        <v>460.03205700150005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25">
      <c r="A36" s="4" t="s">
        <v>101</v>
      </c>
      <c r="C36" s="6">
        <f t="shared" si="10"/>
        <v>21145.121539864685</v>
      </c>
      <c r="D36" s="6">
        <f t="shared" si="10"/>
        <v>488.29271177081745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25">
      <c r="A37" s="4" t="s">
        <v>102</v>
      </c>
      <c r="C37" s="6">
        <f t="shared" si="10"/>
        <v>23774.93497507475</v>
      </c>
      <c r="D37" s="6">
        <f t="shared" si="10"/>
        <v>517.83497697499263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25">
      <c r="A39" s="4" t="s">
        <v>103</v>
      </c>
      <c r="C39" s="6">
        <f>C33*(1-Inputs!B22)</f>
        <v>10601.959510590001</v>
      </c>
      <c r="D39" s="6">
        <f>D33*(1-Inputs!B22)</f>
        <v>290.30436700000007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25">
      <c r="A40" s="4" t="s">
        <v>104</v>
      </c>
      <c r="C40" s="6">
        <f>C34*(1-Inputs!B22)</f>
        <v>11923.091620293266</v>
      </c>
      <c r="D40" s="6">
        <f>D34*(1-Inputs!B22)</f>
        <v>308.73143669532504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25">
      <c r="A41" s="4" t="s">
        <v>105</v>
      </c>
      <c r="C41" s="6">
        <f>C35*(1-Inputs!B22)</f>
        <v>13407.873200700727</v>
      </c>
      <c r="D41" s="6">
        <f>D35*(1-Inputs!B22)</f>
        <v>328.00285664206956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25">
      <c r="A42" s="4" t="s">
        <v>106</v>
      </c>
      <c r="C42" s="6">
        <f>C36*(1-Inputs!B22)</f>
        <v>15076.471657923523</v>
      </c>
      <c r="D42" s="6">
        <f>D36*(1-Inputs!B22)</f>
        <v>348.15270349259288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25">
      <c r="A43" s="4" t="s">
        <v>107</v>
      </c>
      <c r="C43" s="6">
        <f>C37*(1-Inputs!B22)</f>
        <v>16951.528637228297</v>
      </c>
      <c r="D43" s="6">
        <f>D37*(1-Inputs!B22)</f>
        <v>369.21633858316977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25">
      <c r="A45" s="4" t="s">
        <v>108</v>
      </c>
      <c r="C45" s="6">
        <f t="shared" ref="C45:J45" si="11">C21*IF(ISBLANK(C26),C12,C12+(C26-C12)*(0)/4)</f>
        <v>146.49762000000001</v>
      </c>
      <c r="D45" s="6">
        <f t="shared" si="11"/>
        <v>8.143180000000001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25">
      <c r="A46" s="4" t="s">
        <v>109</v>
      </c>
      <c r="C46" s="6">
        <f t="shared" ref="C46:J46" si="12">C22*IF(ISBLANK(C26),C12,C12+(C26-C12)*(1)/4)</f>
        <v>163.3448463</v>
      </c>
      <c r="D46" s="6">
        <f t="shared" si="12"/>
        <v>8.3874753999999996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25">
      <c r="A47" s="4" t="s">
        <v>110</v>
      </c>
      <c r="C47" s="6">
        <f t="shared" ref="C47:J47" si="13">C23*IF(ISBLANK(C26),C12,C12+(C26-C12)*(2)/4)</f>
        <v>182.12950362450002</v>
      </c>
      <c r="D47" s="6">
        <f t="shared" si="13"/>
        <v>8.6390996620000013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25">
      <c r="A48" s="4" t="s">
        <v>111</v>
      </c>
      <c r="C48" s="6">
        <f t="shared" ref="C48:J48" si="14">C24*IF(ISBLANK(C26),C12,C12+(C26-C12)*(3)/4)</f>
        <v>203.07439654131753</v>
      </c>
      <c r="D48" s="6">
        <f t="shared" si="14"/>
        <v>8.8982726518599993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25">
      <c r="A49" s="4" t="s">
        <v>112</v>
      </c>
      <c r="C49" s="6">
        <f t="shared" ref="C49:J49" si="15">C25*IF(ISBLANK(C26),C12,C12+(C26-C12)*(4)/4)</f>
        <v>226.42795214356906</v>
      </c>
      <c r="D49" s="6">
        <f t="shared" si="15"/>
        <v>9.1652208314157981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25">
      <c r="A51" s="4" t="s">
        <v>113</v>
      </c>
      <c r="C51" s="6">
        <f t="shared" ref="C51:J55" si="16">C39-C45</f>
        <v>10455.461890590001</v>
      </c>
      <c r="D51" s="6">
        <f t="shared" si="16"/>
        <v>282.16118700000004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25">
      <c r="A52" s="4" t="s">
        <v>114</v>
      </c>
      <c r="C52" s="6">
        <f t="shared" si="16"/>
        <v>11759.746773993265</v>
      </c>
      <c r="D52" s="6">
        <f t="shared" si="16"/>
        <v>300.34396129532502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25">
      <c r="A53" s="4" t="s">
        <v>115</v>
      </c>
      <c r="C53" s="6">
        <f t="shared" si="16"/>
        <v>13225.743697076228</v>
      </c>
      <c r="D53" s="6">
        <f t="shared" si="16"/>
        <v>319.36375698006958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25">
      <c r="A54" s="4" t="s">
        <v>116</v>
      </c>
      <c r="C54" s="6">
        <f t="shared" si="16"/>
        <v>14873.397261382206</v>
      </c>
      <c r="D54" s="6">
        <f t="shared" si="16"/>
        <v>339.25443084073288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25">
      <c r="A55" s="4" t="s">
        <v>117</v>
      </c>
      <c r="C55" s="6">
        <f t="shared" si="16"/>
        <v>16725.10068508473</v>
      </c>
      <c r="D55" s="6">
        <f t="shared" si="16"/>
        <v>360.05111775175396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25">
      <c r="A57" s="4" t="s">
        <v>118</v>
      </c>
      <c r="C57" s="6">
        <f t="shared" ref="C57:J57" si="17">C51/((1+C16))</f>
        <v>9669.2086910854541</v>
      </c>
      <c r="D57" s="6">
        <f t="shared" si="17"/>
        <v>260.94259920576616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25">
      <c r="A58" s="4" t="s">
        <v>119</v>
      </c>
      <c r="C58" s="6">
        <f t="shared" ref="C58:J58" si="18">C52/((1+C16)*(1+C16+(C104-C16)*1/5))</f>
        <v>10069.92879160399</v>
      </c>
      <c r="D58" s="6">
        <f t="shared" si="18"/>
        <v>257.18600590284444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25">
      <c r="A59" s="4" t="s">
        <v>120</v>
      </c>
      <c r="C59" s="6">
        <f t="shared" ref="C59:J59" si="19">C53/((1+C16)*(1+C16+(C104-C16)*1/5)*(1+C16+(C104-C16)*2/5))</f>
        <v>10499.362115392618</v>
      </c>
      <c r="D59" s="6">
        <f t="shared" si="19"/>
        <v>253.52946555340091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25">
      <c r="A60" s="4" t="s">
        <v>121</v>
      </c>
      <c r="C60" s="6">
        <f t="shared" ref="C60:J60" si="20">C54/((1+C16)*(1+C16+(C104-C16)*1/5)*(1+C16+(C104-C16)*2/5)*(1+C16+(C104-C16)*3/5))</f>
        <v>10959.776386299136</v>
      </c>
      <c r="D60" s="6">
        <f t="shared" si="20"/>
        <v>249.98678074238998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25">
      <c r="A61" s="4" t="s">
        <v>122</v>
      </c>
      <c r="C61" s="6">
        <f t="shared" ref="C61:J61" si="21">C55/((1+C16)*(1+C16+(C104-C16)*1/5)*(1+C16+(C104-C16)*2/5)*(1+C16+(C104-C16)*3/5)*(1+C16+(C104-C16)*4/5))</f>
        <v>11453.650792512088</v>
      </c>
      <c r="D61" s="6">
        <f t="shared" si="21"/>
        <v>246.56950339676521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25">
      <c r="A62" s="3" t="s">
        <v>123</v>
      </c>
    </row>
    <row r="63" spans="1:10" x14ac:dyDescent="0.25">
      <c r="A63" s="4" t="s">
        <v>124</v>
      </c>
      <c r="C63" s="6">
        <f t="shared" ref="C63:J63" si="22">C25*(1+(C6+(C13-C6)*1/5))</f>
        <v>62154.472863409705</v>
      </c>
      <c r="D63" s="6">
        <f t="shared" si="22"/>
        <v>4710.9235073477203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25">
      <c r="A64" s="4" t="s">
        <v>125</v>
      </c>
      <c r="C64" s="6">
        <f t="shared" ref="C64:J64" si="23">C63*(1+(C6+(C13-C6)*2/5))</f>
        <v>67188.98516534589</v>
      </c>
      <c r="D64" s="6">
        <f t="shared" si="23"/>
        <v>4833.407518538761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25">
      <c r="A65" s="4" t="s">
        <v>126</v>
      </c>
      <c r="C65" s="6">
        <f t="shared" ref="C65:J65" si="24">C64*(1+(C6+(C13-C6)*3/5))</f>
        <v>71489.080215928028</v>
      </c>
      <c r="D65" s="6">
        <f t="shared" si="24"/>
        <v>4949.4092989836918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25">
      <c r="A66" s="4" t="s">
        <v>127</v>
      </c>
      <c r="C66" s="6">
        <f t="shared" ref="C66:J66" si="25">C65*(1+(C6+(C13-C6)*4/5))</f>
        <v>74849.066986076636</v>
      </c>
      <c r="D66" s="6">
        <f t="shared" si="25"/>
        <v>5058.2963035613329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25">
      <c r="A67" s="4" t="s">
        <v>128</v>
      </c>
      <c r="C67" s="6">
        <f t="shared" ref="C67:J67" si="26">C66*(1+(C6+(C13-C6)*5/5))</f>
        <v>77094.538995658935</v>
      </c>
      <c r="D67" s="6">
        <f t="shared" si="26"/>
        <v>5159.4622296325597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25">
      <c r="A69" s="4" t="s">
        <v>129</v>
      </c>
      <c r="C69" s="11">
        <f t="shared" ref="C69:J69" si="27">IF(ISBLANK(C9),C7,C9)</f>
        <v>0.42</v>
      </c>
      <c r="D69" s="11">
        <f t="shared" si="27"/>
        <v>0.113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25">
      <c r="A70" s="4" t="s">
        <v>130</v>
      </c>
      <c r="C70" s="11">
        <f t="shared" ref="C70:J70" si="28">IF(ISBLANK(C9),C7,C9)</f>
        <v>0.42</v>
      </c>
      <c r="D70" s="11">
        <f t="shared" si="28"/>
        <v>0.113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25">
      <c r="A71" s="4" t="s">
        <v>131</v>
      </c>
      <c r="C71" s="11">
        <f t="shared" ref="C71:J71" si="29">IF(ISBLANK(C9),C7,C9)</f>
        <v>0.42</v>
      </c>
      <c r="D71" s="11">
        <f t="shared" si="29"/>
        <v>0.113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25">
      <c r="A72" s="4" t="s">
        <v>132</v>
      </c>
      <c r="C72" s="11">
        <f t="shared" ref="C72:J72" si="30">IF(ISBLANK(C9),C7,C9)</f>
        <v>0.42</v>
      </c>
      <c r="D72" s="11">
        <f t="shared" si="30"/>
        <v>0.113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25">
      <c r="A73" s="4" t="s">
        <v>133</v>
      </c>
      <c r="C73" s="11">
        <f t="shared" ref="C73:J73" si="31">IF(ISBLANK(C9),C7,C9)</f>
        <v>0.42</v>
      </c>
      <c r="D73" s="11">
        <f t="shared" si="31"/>
        <v>0.113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25">
      <c r="A75" s="4" t="s">
        <v>134</v>
      </c>
      <c r="C75" s="6">
        <f t="shared" ref="C75:J79" si="32">C63*C69</f>
        <v>26104.878602632074</v>
      </c>
      <c r="D75" s="6">
        <f t="shared" si="32"/>
        <v>532.33435633029239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25">
      <c r="A76" s="4" t="s">
        <v>135</v>
      </c>
      <c r="C76" s="6">
        <f t="shared" si="32"/>
        <v>28219.373769445272</v>
      </c>
      <c r="D76" s="6">
        <f t="shared" si="32"/>
        <v>546.17504959487997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25">
      <c r="A77" s="4" t="s">
        <v>136</v>
      </c>
      <c r="C77" s="6">
        <f t="shared" si="32"/>
        <v>30025.413690689769</v>
      </c>
      <c r="D77" s="6">
        <f t="shared" si="32"/>
        <v>559.28325078515718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25">
      <c r="A78" s="4" t="s">
        <v>137</v>
      </c>
      <c r="C78" s="6">
        <f t="shared" si="32"/>
        <v>31436.608134152186</v>
      </c>
      <c r="D78" s="6">
        <f t="shared" si="32"/>
        <v>571.58748230243066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25">
      <c r="A79" s="4" t="s">
        <v>138</v>
      </c>
      <c r="C79" s="6">
        <f t="shared" si="32"/>
        <v>32379.70637817675</v>
      </c>
      <c r="D79" s="6">
        <f t="shared" si="32"/>
        <v>583.01923194847927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25">
      <c r="A81" s="4" t="s">
        <v>139</v>
      </c>
      <c r="C81" s="6">
        <f>C75*(1-Inputs!B22)</f>
        <v>18612.778443676671</v>
      </c>
      <c r="D81" s="6">
        <f>D75*(1-Inputs!B22)</f>
        <v>379.55439606349853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25">
      <c r="A82" s="4" t="s">
        <v>140</v>
      </c>
      <c r="C82" s="6">
        <f>C76*(1-Inputs!B22)</f>
        <v>20120.413497614481</v>
      </c>
      <c r="D82" s="6">
        <f>D76*(1-Inputs!B22)</f>
        <v>389.42281036114946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25">
      <c r="A83" s="4" t="s">
        <v>141</v>
      </c>
      <c r="C83" s="6">
        <f>C77*(1-Inputs!B22)</f>
        <v>21408.119961461809</v>
      </c>
      <c r="D83" s="6">
        <f>D77*(1-Inputs!B22)</f>
        <v>398.7689578098171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25">
      <c r="A84" s="4" t="s">
        <v>142</v>
      </c>
      <c r="C84" s="6">
        <f>C78*(1-Inputs!B22)</f>
        <v>22414.301599650509</v>
      </c>
      <c r="D84" s="6">
        <f>D78*(1-Inputs!B22)</f>
        <v>407.54187488163308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25">
      <c r="A85" s="4" t="s">
        <v>143</v>
      </c>
      <c r="C85" s="6">
        <f>C79*(1-Inputs!B22)</f>
        <v>23086.730647640026</v>
      </c>
      <c r="D85" s="6">
        <f>D79*(1-Inputs!B22)</f>
        <v>415.69271237926574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25">
      <c r="A87" s="4" t="s">
        <v>144</v>
      </c>
      <c r="C87" s="6">
        <f t="shared" ref="C87:J87" si="33">C63*MAX(IF(ISBLANK(C26),C12,C26),0)</f>
        <v>248.61789145363883</v>
      </c>
      <c r="D87" s="6">
        <f t="shared" si="33"/>
        <v>9.4218470146954409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25">
      <c r="A88" s="4" t="s">
        <v>145</v>
      </c>
      <c r="C88" s="6">
        <f t="shared" ref="C88:J88" si="34">C64*MAX(IF(ISBLANK(C26),C12,C26),0)</f>
        <v>268.75594066138359</v>
      </c>
      <c r="D88" s="6">
        <f t="shared" si="34"/>
        <v>9.666815037077523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25">
      <c r="A89" s="4" t="s">
        <v>146</v>
      </c>
      <c r="C89" s="6">
        <f t="shared" ref="C89:J89" si="35">C65*MAX(IF(ISBLANK(C26),C12,C26),0)</f>
        <v>285.95632086371211</v>
      </c>
      <c r="D89" s="6">
        <f t="shared" si="35"/>
        <v>9.8988185979673844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25">
      <c r="A90" s="4" t="s">
        <v>147</v>
      </c>
      <c r="C90" s="6">
        <f t="shared" ref="C90:J90" si="36">C66*MAX(IF(ISBLANK(C26),C12,C26),0)</f>
        <v>299.39626794430654</v>
      </c>
      <c r="D90" s="6">
        <f t="shared" si="36"/>
        <v>10.116592607122666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25">
      <c r="A91" s="4" t="s">
        <v>148</v>
      </c>
      <c r="C91" s="6">
        <f t="shared" ref="C91:J91" si="37">C67*MAX(IF(ISBLANK(C26),C12,C26),0)</f>
        <v>308.37815598263575</v>
      </c>
      <c r="D91" s="6">
        <f t="shared" si="37"/>
        <v>10.318924459265119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25">
      <c r="A93" s="4" t="s">
        <v>149</v>
      </c>
      <c r="C93" s="6">
        <f t="shared" ref="C93:J97" si="38">C81-C87</f>
        <v>18364.160552223031</v>
      </c>
      <c r="D93" s="6">
        <f t="shared" si="38"/>
        <v>370.13254904880307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25">
      <c r="A94" s="4" t="s">
        <v>150</v>
      </c>
      <c r="C94" s="6">
        <f t="shared" si="38"/>
        <v>19851.657556953098</v>
      </c>
      <c r="D94" s="6">
        <f t="shared" si="38"/>
        <v>379.75599532407193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25">
      <c r="A95" s="4" t="s">
        <v>151</v>
      </c>
      <c r="C95" s="6">
        <f t="shared" si="38"/>
        <v>21122.163640598097</v>
      </c>
      <c r="D95" s="6">
        <f t="shared" si="38"/>
        <v>388.87013921184973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25">
      <c r="A96" s="4" t="s">
        <v>152</v>
      </c>
      <c r="C96" s="6">
        <f t="shared" si="38"/>
        <v>22114.905331706203</v>
      </c>
      <c r="D96" s="6">
        <f t="shared" si="38"/>
        <v>397.42528227451044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25">
      <c r="A97" s="4" t="s">
        <v>153</v>
      </c>
      <c r="C97" s="6">
        <f t="shared" si="38"/>
        <v>22778.352491657392</v>
      </c>
      <c r="D97" s="6">
        <f t="shared" si="38"/>
        <v>405.37378792000061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25">
      <c r="A99" s="4" t="s">
        <v>154</v>
      </c>
      <c r="C99" s="6">
        <f t="shared" ref="C99:J99" si="39">C93/(((1+C16)*(1+C16+(C104-C16)*1/5)*(1+C16+(C104-C16)*2/5)*(1+C16+(C104-C16)*3/5)*(1+C16+(C104-C16)*4/5))*(1+C104)^1)</f>
        <v>11702.148308981035</v>
      </c>
      <c r="D99" s="6">
        <f t="shared" si="39"/>
        <v>235.85864274236971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25">
      <c r="A100" s="4" t="s">
        <v>155</v>
      </c>
      <c r="C100" s="6">
        <f t="shared" ref="C100:J100" si="40">C94/(((1+C16)*(1+C16+(C104-C16)*1/5)*(1+C16+(C104-C16)*2/5)*(1+C16+(C104-C16)*3/5)*(1+C16+(C104-C16)*4/5))*(1+C104)^2)</f>
        <v>11770.925521038635</v>
      </c>
      <c r="D100" s="6">
        <f t="shared" si="40"/>
        <v>225.17412081601663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25">
      <c r="A101" s="4" t="s">
        <v>156</v>
      </c>
      <c r="C101" s="6">
        <f t="shared" ref="C101:J101" si="41">C95/(((1+C16)*(1+C16+(C104-C16)*1/5)*(1+C16+(C104-C16)*2/5)*(1+C16+(C104-C16)*3/5)*(1+C16+(C104-C16)*4/5))*(1+C104)^3)</f>
        <v>11653.907311542947</v>
      </c>
      <c r="D101" s="6">
        <f t="shared" si="41"/>
        <v>214.55456153607258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25">
      <c r="A102" s="4" t="s">
        <v>157</v>
      </c>
      <c r="C102" s="6">
        <f t="shared" ref="C102:J102" si="42">C96/(((1+C16)*(1+C16+(C104-C16)*1/5)*(1+C16+(C104-C16)*2/5)*(1+C16+(C104-C16)*3/5)*(1+C16+(C104-C16)*4/5))*(1+C104)^4)</f>
        <v>11353.703832448169</v>
      </c>
      <c r="D102" s="6">
        <f t="shared" si="42"/>
        <v>204.03654832755174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25">
      <c r="A103" s="4" t="s">
        <v>158</v>
      </c>
      <c r="C103" s="6">
        <f t="shared" ref="C103:J103" si="43">C97/(((1+C16)*(1+C16+(C104-C16)*1/5)*(1+C16+(C104-C16)*2/5)*(1+C16+(C104-C16)*3/5)*(1+C16+(C104-C16)*4/5))*(1+C104)^5)</f>
        <v>10881.633783853507</v>
      </c>
      <c r="D103" s="6">
        <f t="shared" si="43"/>
        <v>193.65444043130552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25">
      <c r="A104" s="4" t="s">
        <v>159</v>
      </c>
      <c r="C104" s="11">
        <f>MAX((Inputs!B18+((1+(1-Inputs!B22)*(Inputs!B36/(1-Inputs!B36)))/(1+(1-Inputs!B22)*0.25))*Inputs!B19+IF(ISBLANK(C17),Inputs!B24,C17)+Inputs!B25+Inputs!B39)*(1-Inputs!B36)+Inputs!B38*Inputs!B36,C15)</f>
        <v>7.4683745080080466E-2</v>
      </c>
      <c r="D104" s="11">
        <f>MAX((Inputs!B18+((1+(1-Inputs!B22)*(Inputs!B36/(1-Inputs!B36)))/(1+(1-Inputs!B22)*0.25))*Inputs!B19+IF(ISBLANK(D17),Inputs!B24,D17)+Inputs!B25+Inputs!B39)*(1-Inputs!B36)+Inputs!B38*Inputs!B36,D15)</f>
        <v>7.4683745080080466E-2</v>
      </c>
      <c r="E104" s="11">
        <f>MAX((Inputs!B18+((1+(1-Inputs!B22)*(Inputs!B36/(1-Inputs!B36)))/(1+(1-Inputs!B22)*0.25))*Inputs!B19+IF(ISBLANK(E17),Inputs!B24,E17)+Inputs!B25+Inputs!B39)*(1-Inputs!B36)+Inputs!B38*Inputs!B36,E15)</f>
        <v>7.4683745080080466E-2</v>
      </c>
      <c r="F104" s="11">
        <f>MAX((Inputs!B18+((1+(1-Inputs!B22)*(Inputs!B36/(1-Inputs!B36)))/(1+(1-Inputs!B22)*0.25))*Inputs!B19+IF(ISBLANK(F17),Inputs!B24,F17)+Inputs!B25+Inputs!B39)*(1-Inputs!B36)+Inputs!B38*Inputs!B36,F15)</f>
        <v>7.4683745080080466E-2</v>
      </c>
      <c r="G104" s="11">
        <f>MAX((Inputs!B18+((1+(1-Inputs!B22)*(Inputs!B36/(1-Inputs!B36)))/(1+(1-Inputs!B22)*0.25))*Inputs!B19+IF(ISBLANK(G17),Inputs!B24,G17)+Inputs!B25+Inputs!B39)*(1-Inputs!B36)+Inputs!B38*Inputs!B36,G15)</f>
        <v>7.4683745080080466E-2</v>
      </c>
      <c r="H104" s="11">
        <f>MAX((Inputs!B18+((1+(1-Inputs!B22)*(Inputs!B36/(1-Inputs!B36)))/(1+(1-Inputs!B22)*0.25))*Inputs!B19+IF(ISBLANK(H17),Inputs!B24,H17)+Inputs!B25+Inputs!B39)*(1-Inputs!B36)+Inputs!B38*Inputs!B36,H15)</f>
        <v>7.4683745080080466E-2</v>
      </c>
      <c r="I104" s="11">
        <f>MAX((Inputs!B18+((1+(1-Inputs!B22)*(Inputs!B36/(1-Inputs!B36)))/(1+(1-Inputs!B22)*0.25))*Inputs!B19+IF(ISBLANK(I17),Inputs!B24,I17)+Inputs!B25+Inputs!B39)*(1-Inputs!B36)+Inputs!B38*Inputs!B36,I15)</f>
        <v>7.4683745080080466E-2</v>
      </c>
      <c r="J104" s="11">
        <f>MAX((Inputs!B18+((1+(1-Inputs!B22)*(Inputs!B36/(1-Inputs!B36)))/(1+(1-Inputs!B22)*0.25))*Inputs!B19+IF(ISBLANK(J17),Inputs!B24,J17)+Inputs!B25+Inputs!B39)*(1-Inputs!B36)+Inputs!B38*Inputs!B36,J15)</f>
        <v>7.4683745080080466E-2</v>
      </c>
    </row>
    <row r="105" spans="1:11" x14ac:dyDescent="0.25">
      <c r="A105" s="4" t="s">
        <v>160</v>
      </c>
      <c r="C105" s="6">
        <f t="shared" ref="C105:J105" si="44">SUM(C57:C61,C99:C103)</f>
        <v>110014.24553475759</v>
      </c>
      <c r="D105" s="6">
        <f t="shared" si="44"/>
        <v>2341.4926686544827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25">
      <c r="A106" s="4" t="s">
        <v>161</v>
      </c>
      <c r="C106" s="6">
        <f t="shared" ref="C106:J106" si="45">IF(C5=0,0,C97*(1+C13)/(C104-C13))</f>
        <v>525061.25044711365</v>
      </c>
      <c r="D106" s="6">
        <f t="shared" si="45"/>
        <v>7561.3194208422756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25">
      <c r="A107" s="4" t="s">
        <v>162</v>
      </c>
      <c r="C107" s="6">
        <f t="shared" ref="C107:J107" si="46">C106/(((1+C16)*(1+C16+(C104-C16)*1/5)*(1+C16+(C104-C16)*2/5)*(1+C16+(C104-C16)*3/5)*(1+C16+(C104-C16)*4/5))*(1+C104)^5)</f>
        <v>250831.32081436826</v>
      </c>
      <c r="D107" s="6">
        <f t="shared" si="46"/>
        <v>3612.179980553025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25">
      <c r="A109" s="19" t="s">
        <v>163</v>
      </c>
      <c r="C109" s="20">
        <f t="shared" ref="C109:J109" si="47">C105+C107</f>
        <v>360845.56634912582</v>
      </c>
      <c r="D109" s="20">
        <f t="shared" si="47"/>
        <v>5953.6726492075077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366799.23899833334</v>
      </c>
    </row>
    <row r="110" spans="1:11" x14ac:dyDescent="0.25">
      <c r="A110" s="4" t="s">
        <v>164</v>
      </c>
      <c r="K110" s="11">
        <f>IFERROR(SUMPRODUCT(C109:J109,C16:J16)/SUM(C109:J109),0)</f>
        <v>8.1315154592684818E-2</v>
      </c>
    </row>
    <row r="111" spans="1:11" x14ac:dyDescent="0.25">
      <c r="A111" s="4" t="s">
        <v>165</v>
      </c>
      <c r="K111" s="5">
        <v>-3381</v>
      </c>
    </row>
    <row r="112" spans="1:11" x14ac:dyDescent="0.25">
      <c r="A112" s="4" t="s">
        <v>166</v>
      </c>
      <c r="K112" s="5">
        <v>500</v>
      </c>
    </row>
    <row r="113" spans="1:11" x14ac:dyDescent="0.25">
      <c r="A113" s="4" t="s">
        <v>167</v>
      </c>
      <c r="K113" s="5">
        <v>-43895.202687724217</v>
      </c>
    </row>
    <row r="114" spans="1:11" x14ac:dyDescent="0.25">
      <c r="A114" s="4" t="s">
        <v>168</v>
      </c>
      <c r="K114" s="5">
        <v>0</v>
      </c>
    </row>
    <row r="115" spans="1:11" x14ac:dyDescent="0.25">
      <c r="A115" s="4" t="s">
        <v>169</v>
      </c>
      <c r="K115" s="5">
        <v>0</v>
      </c>
    </row>
    <row r="116" spans="1:11" x14ac:dyDescent="0.25">
      <c r="A116" s="4" t="s">
        <v>170</v>
      </c>
      <c r="K116" s="5">
        <v>-52.5</v>
      </c>
    </row>
    <row r="117" spans="1:11" x14ac:dyDescent="0.25">
      <c r="A117" s="4" t="s">
        <v>171</v>
      </c>
      <c r="K117" s="5">
        <v>0</v>
      </c>
    </row>
    <row r="118" spans="1:11" x14ac:dyDescent="0.25">
      <c r="A118" s="4" t="s">
        <v>172</v>
      </c>
      <c r="K118" s="5">
        <v>0</v>
      </c>
    </row>
    <row r="119" spans="1:11" x14ac:dyDescent="0.25">
      <c r="A119" s="4" t="s">
        <v>173</v>
      </c>
      <c r="K119" s="20">
        <f>K109+K113+K114+K115+K116+K117+K118-K111-K112</f>
        <v>325732.53631060914</v>
      </c>
    </row>
    <row r="120" spans="1:11" x14ac:dyDescent="0.25">
      <c r="A120" s="4" t="s">
        <v>174</v>
      </c>
      <c r="K120" s="6">
        <f>Inputs!B11</f>
        <v>1166</v>
      </c>
    </row>
    <row r="122" spans="1:11" ht="15.75" customHeight="1" x14ac:dyDescent="0.25">
      <c r="A122" s="4" t="s">
        <v>175</v>
      </c>
      <c r="K122" s="21">
        <f>K119/K120</f>
        <v>279.35895052367852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2"/>
  <sheetViews>
    <sheetView workbookViewId="0"/>
  </sheetViews>
  <sheetFormatPr baseColWidth="10" defaultColWidth="9.140625" defaultRowHeight="15" x14ac:dyDescent="0.25"/>
  <cols>
    <col min="1" max="1" width="30" customWidth="1"/>
    <col min="2" max="2" width="4" customWidth="1"/>
    <col min="3" max="11" width="14" customWidth="1"/>
  </cols>
  <sheetData>
    <row r="1" spans="1:11" ht="18.75" customHeight="1" x14ac:dyDescent="0.3">
      <c r="A1" s="1" t="s">
        <v>176</v>
      </c>
    </row>
    <row r="2" spans="1:11" x14ac:dyDescent="0.25">
      <c r="A2" s="2" t="s">
        <v>54</v>
      </c>
    </row>
    <row r="3" spans="1:11" x14ac:dyDescent="0.25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25">
      <c r="A4" s="4" t="s">
        <v>64</v>
      </c>
      <c r="C4" s="14" t="s">
        <v>55</v>
      </c>
      <c r="D4" s="14" t="s">
        <v>56</v>
      </c>
      <c r="E4" s="14"/>
      <c r="F4" s="14"/>
      <c r="G4" s="14"/>
      <c r="H4" s="14"/>
      <c r="I4" s="14"/>
      <c r="J4" s="14"/>
    </row>
    <row r="5" spans="1:11" x14ac:dyDescent="0.25">
      <c r="A5" s="4" t="s">
        <v>65</v>
      </c>
      <c r="C5" s="5">
        <v>32847</v>
      </c>
      <c r="D5" s="5">
        <v>3953</v>
      </c>
      <c r="E5" s="5"/>
      <c r="F5" s="5"/>
      <c r="G5" s="5"/>
      <c r="H5" s="5"/>
      <c r="I5" s="5"/>
      <c r="J5" s="5"/>
    </row>
    <row r="6" spans="1:11" x14ac:dyDescent="0.25">
      <c r="A6" s="4" t="s">
        <v>66</v>
      </c>
      <c r="C6" s="7">
        <v>0.14499999999999999</v>
      </c>
      <c r="D6" s="7">
        <v>0.05</v>
      </c>
      <c r="E6" s="7"/>
      <c r="F6" s="7"/>
      <c r="G6" s="7"/>
      <c r="H6" s="7"/>
      <c r="I6" s="7"/>
      <c r="J6" s="7"/>
    </row>
    <row r="7" spans="1:11" x14ac:dyDescent="0.25">
      <c r="A7" s="4" t="s">
        <v>67</v>
      </c>
      <c r="C7" s="7">
        <v>0.42541620097471811</v>
      </c>
      <c r="D7" s="7">
        <v>0.1194162009747181</v>
      </c>
      <c r="E7" s="7"/>
      <c r="F7" s="7"/>
      <c r="G7" s="7"/>
      <c r="H7" s="7"/>
      <c r="I7" s="7"/>
      <c r="J7" s="7"/>
    </row>
    <row r="8" spans="1:11" x14ac:dyDescent="0.25">
      <c r="A8" s="4" t="s">
        <v>68</v>
      </c>
      <c r="C8" s="15">
        <v>0.40600000000000003</v>
      </c>
      <c r="D8" s="15">
        <v>0.109</v>
      </c>
      <c r="E8" s="15"/>
      <c r="F8" s="15"/>
      <c r="G8" s="15"/>
      <c r="H8" s="15"/>
      <c r="I8" s="15"/>
      <c r="J8" s="15"/>
    </row>
    <row r="9" spans="1:11" x14ac:dyDescent="0.25">
      <c r="A9" s="4" t="s">
        <v>69</v>
      </c>
      <c r="C9" s="7">
        <v>0.44</v>
      </c>
      <c r="D9" s="7">
        <v>0.1324162009747181</v>
      </c>
      <c r="E9" s="7"/>
      <c r="F9" s="7"/>
      <c r="G9" s="7"/>
      <c r="H9" s="7"/>
      <c r="I9" s="7"/>
      <c r="J9" s="7"/>
    </row>
    <row r="10" spans="1:11" x14ac:dyDescent="0.25">
      <c r="A10" s="4" t="s">
        <v>70</v>
      </c>
      <c r="C10" s="7">
        <v>0.02</v>
      </c>
      <c r="D10" s="7">
        <v>5.0000000000000001E-3</v>
      </c>
      <c r="E10" s="7"/>
      <c r="F10" s="7"/>
      <c r="G10" s="7"/>
      <c r="H10" s="7"/>
      <c r="I10" s="7"/>
      <c r="J10" s="7"/>
    </row>
    <row r="11" spans="1:11" x14ac:dyDescent="0.25">
      <c r="A11" s="4" t="s">
        <v>71</v>
      </c>
      <c r="C11" s="7">
        <v>2.1000000000000001E-2</v>
      </c>
      <c r="D11" s="7">
        <v>3.0000000000000001E-3</v>
      </c>
      <c r="E11" s="7"/>
      <c r="F11" s="7"/>
      <c r="G11" s="7"/>
      <c r="H11" s="7"/>
      <c r="I11" s="7"/>
      <c r="J11" s="7"/>
    </row>
    <row r="12" spans="1:11" x14ac:dyDescent="0.25">
      <c r="A12" s="4" t="s">
        <v>72</v>
      </c>
      <c r="C12" s="7">
        <v>4.0000000000000001E-3</v>
      </c>
      <c r="D12" s="7">
        <v>2E-3</v>
      </c>
      <c r="E12" s="7"/>
      <c r="F12" s="7"/>
      <c r="G12" s="7"/>
      <c r="H12" s="7"/>
      <c r="I12" s="7"/>
      <c r="J12" s="7"/>
    </row>
    <row r="13" spans="1:11" x14ac:dyDescent="0.25">
      <c r="A13" s="4" t="s">
        <v>73</v>
      </c>
      <c r="C13" s="7">
        <v>3.4854050243679519E-2</v>
      </c>
      <c r="D13" s="7">
        <v>2.485405024367952E-2</v>
      </c>
      <c r="E13" s="7"/>
      <c r="F13" s="7"/>
      <c r="G13" s="7"/>
      <c r="H13" s="7"/>
      <c r="I13" s="7"/>
      <c r="J13" s="7"/>
    </row>
    <row r="14" spans="1:11" x14ac:dyDescent="0.25">
      <c r="A14" s="4" t="s">
        <v>74</v>
      </c>
      <c r="C14" s="9">
        <v>0.96</v>
      </c>
      <c r="D14" s="9">
        <v>0.96</v>
      </c>
      <c r="E14" s="9"/>
      <c r="F14" s="9"/>
      <c r="G14" s="9"/>
      <c r="H14" s="9"/>
      <c r="I14" s="9"/>
      <c r="J14" s="9"/>
    </row>
    <row r="15" spans="1:11" x14ac:dyDescent="0.25">
      <c r="A15" s="4" t="s">
        <v>75</v>
      </c>
      <c r="C15" s="7">
        <v>7.0099999999999996E-2</v>
      </c>
      <c r="D15" s="7">
        <v>7.0099999999999996E-2</v>
      </c>
      <c r="E15" s="7"/>
      <c r="F15" s="7"/>
      <c r="G15" s="7"/>
      <c r="H15" s="7"/>
      <c r="I15" s="7"/>
      <c r="J15" s="7"/>
    </row>
    <row r="16" spans="1:11" x14ac:dyDescent="0.25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8.1315154592684818E-2</v>
      </c>
      <c r="D16" s="11">
        <f>MAX((MAX(Inputs!B18+((1-0.33)*D14*(1+(1-Inputs!B22)*Inputs!B21)+0.33)*Inputs!B19+IF(ISBLANK(D17),Inputs!B24,D17)+Inputs!B25+Inputs!B39,MIN(Inputs!B27,0.08)+0.025))*Inputs!B29+Inputs!B28*Inputs!B30,D15)</f>
        <v>8.1315154592684818E-2</v>
      </c>
      <c r="E16" s="11">
        <f>MAX((MAX(Inputs!B18+((1-0.33)*E14*(1+(1-Inputs!B22)*Inputs!B21)+0.33)*Inputs!B19+IF(ISBLANK(E17),Inputs!B24,E17)+Inputs!B25+Inputs!B39,MIN(Inputs!B27,0.08)+0.025))*Inputs!B29+Inputs!B28*Inputs!B30,E15)</f>
        <v>5.7061101167315179E-2</v>
      </c>
      <c r="F16" s="11">
        <f>MAX((MAX(Inputs!B18+((1-0.33)*F14*(1+(1-Inputs!B22)*Inputs!B21)+0.33)*Inputs!B19+IF(ISBLANK(F17),Inputs!B24,F17)+Inputs!B25+Inputs!B39,MIN(Inputs!B27,0.08)+0.025))*Inputs!B29+Inputs!B28*Inputs!B30,F15)</f>
        <v>5.7061101167315179E-2</v>
      </c>
      <c r="G16" s="11">
        <f>MAX((MAX(Inputs!B18+((1-0.33)*G14*(1+(1-Inputs!B22)*Inputs!B21)+0.33)*Inputs!B19+IF(ISBLANK(G17),Inputs!B24,G17)+Inputs!B25+Inputs!B39,MIN(Inputs!B27,0.08)+0.025))*Inputs!B29+Inputs!B28*Inputs!B30,G15)</f>
        <v>5.7061101167315179E-2</v>
      </c>
      <c r="H16" s="11">
        <f>MAX((MAX(Inputs!B18+((1-0.33)*H14*(1+(1-Inputs!B22)*Inputs!B21)+0.33)*Inputs!B19+IF(ISBLANK(H17),Inputs!B24,H17)+Inputs!B25+Inputs!B39,MIN(Inputs!B27,0.08)+0.025))*Inputs!B29+Inputs!B28*Inputs!B30,H15)</f>
        <v>5.7061101167315179E-2</v>
      </c>
      <c r="I16" s="11">
        <f>MAX((MAX(Inputs!B18+((1-0.33)*I14*(1+(1-Inputs!B22)*Inputs!B21)+0.33)*Inputs!B19+IF(ISBLANK(I17),Inputs!B24,I17)+Inputs!B25+Inputs!B39,MIN(Inputs!B27,0.08)+0.025))*Inputs!B29+Inputs!B28*Inputs!B30,I15)</f>
        <v>5.7061101167315179E-2</v>
      </c>
      <c r="J16" s="11">
        <f>MAX((MAX(Inputs!B18+((1-0.33)*J14*(1+(1-Inputs!B22)*Inputs!B21)+0.33)*Inputs!B19+IF(ISBLANK(J17),Inputs!B24,J17)+Inputs!B25+Inputs!B39,MIN(Inputs!B27,0.08)+0.025))*Inputs!B29+Inputs!B28*Inputs!B30,J15)</f>
        <v>5.7061101167315179E-2</v>
      </c>
    </row>
    <row r="17" spans="1:10" x14ac:dyDescent="0.25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39.950000000000003" customHeight="1" x14ac:dyDescent="0.25">
      <c r="A18" s="17" t="s">
        <v>78</v>
      </c>
      <c r="C18" s="18" t="s">
        <v>79</v>
      </c>
      <c r="D18" s="18" t="s">
        <v>80</v>
      </c>
      <c r="E18" s="18"/>
      <c r="F18" s="18"/>
      <c r="G18" s="18"/>
      <c r="H18" s="18"/>
      <c r="I18" s="18"/>
      <c r="J18" s="18"/>
    </row>
    <row r="19" spans="1:10" ht="39.950000000000003" customHeight="1" x14ac:dyDescent="0.25">
      <c r="A19" s="17" t="s">
        <v>81</v>
      </c>
      <c r="C19" s="18" t="s">
        <v>82</v>
      </c>
      <c r="D19" s="18" t="s">
        <v>83</v>
      </c>
      <c r="E19" s="18"/>
      <c r="F19" s="18"/>
      <c r="G19" s="18"/>
      <c r="H19" s="18"/>
      <c r="I19" s="18"/>
      <c r="J19" s="18"/>
    </row>
    <row r="20" spans="1:10" ht="27.95" customHeight="1" x14ac:dyDescent="0.25">
      <c r="A20" s="17" t="s">
        <v>84</v>
      </c>
      <c r="C20" s="18" t="s">
        <v>85</v>
      </c>
      <c r="D20" s="18" t="s">
        <v>86</v>
      </c>
      <c r="E20" s="18"/>
      <c r="F20" s="18"/>
      <c r="G20" s="18"/>
      <c r="H20" s="18"/>
      <c r="I20" s="18"/>
      <c r="J20" s="18"/>
    </row>
    <row r="21" spans="1:10" x14ac:dyDescent="0.25">
      <c r="A21" s="4" t="s">
        <v>87</v>
      </c>
      <c r="C21" s="6">
        <f t="shared" ref="C21:J21" si="0">C5*(1+C6)^1</f>
        <v>37609.815000000002</v>
      </c>
      <c r="D21" s="6">
        <f t="shared" si="0"/>
        <v>4150.6500000000005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25">
      <c r="A22" s="4" t="s">
        <v>88</v>
      </c>
      <c r="C22" s="6">
        <f t="shared" ref="C22:J22" si="1">C5*(1+C6)^2</f>
        <v>43063.238175000006</v>
      </c>
      <c r="D22" s="6">
        <f t="shared" si="1"/>
        <v>4358.1824999999999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25">
      <c r="A23" s="4" t="s">
        <v>89</v>
      </c>
      <c r="C23" s="6">
        <f t="shared" ref="C23:J23" si="2">C5*(1+C6)^3</f>
        <v>49307.40771037501</v>
      </c>
      <c r="D23" s="6">
        <f t="shared" si="2"/>
        <v>4576.0916250000009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25">
      <c r="A24" s="4" t="s">
        <v>90</v>
      </c>
      <c r="C24" s="6">
        <f t="shared" ref="C24:J24" si="3">C5*(1+C6)^4</f>
        <v>56456.981828379379</v>
      </c>
      <c r="D24" s="6">
        <f t="shared" si="3"/>
        <v>4804.8962062500004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25">
      <c r="A25" s="4" t="s">
        <v>91</v>
      </c>
      <c r="C25" s="6">
        <f t="shared" ref="C25:J25" si="4">C5*(1+C6)^5</f>
        <v>64643.244193494393</v>
      </c>
      <c r="D25" s="6">
        <f t="shared" si="4"/>
        <v>5045.1410165625002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25">
      <c r="A26" s="4" t="s">
        <v>92</v>
      </c>
      <c r="C26" s="7"/>
      <c r="D26" s="7"/>
      <c r="E26" s="7"/>
      <c r="F26" s="7"/>
      <c r="G26" s="7"/>
      <c r="H26" s="7"/>
      <c r="I26" s="7"/>
      <c r="J26" s="7"/>
    </row>
    <row r="27" spans="1:10" x14ac:dyDescent="0.25">
      <c r="A27" s="4" t="s">
        <v>93</v>
      </c>
      <c r="C27" s="11">
        <f t="shared" ref="C27:J27" si="5">IF(ISBLANK(C9),C7,C7+(C9-C7)*(0)/4)</f>
        <v>0.42541620097471811</v>
      </c>
      <c r="D27" s="11">
        <f t="shared" si="5"/>
        <v>0.1194162009747181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25">
      <c r="A28" s="4" t="s">
        <v>94</v>
      </c>
      <c r="C28" s="11">
        <f t="shared" ref="C28:J28" si="6">IF(ISBLANK(C9),C7,C7+(C9-C7)*(1)/4)</f>
        <v>0.42906215073103859</v>
      </c>
      <c r="D28" s="11">
        <f t="shared" si="6"/>
        <v>0.1226662009747181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25">
      <c r="A29" s="4" t="s">
        <v>95</v>
      </c>
      <c r="C29" s="11">
        <f t="shared" ref="C29:J29" si="7">IF(ISBLANK(C9),C7,C7+(C9-C7)*(2)/4)</f>
        <v>0.43270810048735908</v>
      </c>
      <c r="D29" s="11">
        <f t="shared" si="7"/>
        <v>0.12591620097471809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25">
      <c r="A30" s="4" t="s">
        <v>96</v>
      </c>
      <c r="C30" s="11">
        <f t="shared" ref="C30:J30" si="8">IF(ISBLANK(C9),C7,C7+(C9-C7)*(3)/4)</f>
        <v>0.43635405024367951</v>
      </c>
      <c r="D30" s="11">
        <f t="shared" si="8"/>
        <v>0.12916620097471809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25">
      <c r="A31" s="4" t="s">
        <v>97</v>
      </c>
      <c r="C31" s="11">
        <f t="shared" ref="C31:J31" si="9">IF(ISBLANK(C9),C7,C7+(C9-C7)*(4)/4)</f>
        <v>0.44</v>
      </c>
      <c r="D31" s="11">
        <f t="shared" si="9"/>
        <v>0.1324162009747181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25">
      <c r="A33" s="4" t="s">
        <v>98</v>
      </c>
      <c r="C33" s="6">
        <f t="shared" ref="C33:J37" si="10">C21*C27</f>
        <v>15999.824616661968</v>
      </c>
      <c r="D33" s="6">
        <f t="shared" si="10"/>
        <v>495.65485457571373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25">
      <c r="A34" s="4" t="s">
        <v>99</v>
      </c>
      <c r="C34" s="6">
        <f t="shared" si="10"/>
        <v>18476.805588808467</v>
      </c>
      <c r="D34" s="6">
        <f t="shared" si="10"/>
        <v>534.6016904294994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25">
      <c r="A35" s="4" t="s">
        <v>100</v>
      </c>
      <c r="C35" s="6">
        <f t="shared" si="10"/>
        <v>21335.714730312135</v>
      </c>
      <c r="D35" s="6">
        <f t="shared" si="10"/>
        <v>576.2040727322244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25">
      <c r="A36" s="4" t="s">
        <v>101</v>
      </c>
      <c r="C36" s="6">
        <f t="shared" si="10"/>
        <v>24635.232685347157</v>
      </c>
      <c r="D36" s="6">
        <f t="shared" si="10"/>
        <v>620.63018903914804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25">
      <c r="A37" s="4" t="s">
        <v>102</v>
      </c>
      <c r="C37" s="6">
        <f t="shared" si="10"/>
        <v>28443.027445137534</v>
      </c>
      <c r="D37" s="6">
        <f t="shared" si="10"/>
        <v>668.0584067949336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25">
      <c r="A39" s="4" t="s">
        <v>103</v>
      </c>
      <c r="C39" s="6">
        <f>C33*(1-Inputs!B22)</f>
        <v>11407.874951679985</v>
      </c>
      <c r="D39" s="6">
        <f>D33*(1-Inputs!B22)</f>
        <v>353.40191131248395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25">
      <c r="A40" s="4" t="s">
        <v>104</v>
      </c>
      <c r="C40" s="6">
        <f>C34*(1-Inputs!B22)</f>
        <v>13173.962384820439</v>
      </c>
      <c r="D40" s="6">
        <f>D34*(1-Inputs!B22)</f>
        <v>381.17100527623313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25">
      <c r="A41" s="4" t="s">
        <v>105</v>
      </c>
      <c r="C41" s="6">
        <f>C35*(1-Inputs!B22)</f>
        <v>15212.364602712554</v>
      </c>
      <c r="D41" s="6">
        <f>D35*(1-Inputs!B22)</f>
        <v>410.83350385807603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25">
      <c r="A42" s="4" t="s">
        <v>106</v>
      </c>
      <c r="C42" s="6">
        <f>C36*(1-Inputs!B22)</f>
        <v>17564.920904652525</v>
      </c>
      <c r="D42" s="6">
        <f>D36*(1-Inputs!B22)</f>
        <v>442.50932478491262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25">
      <c r="A43" s="4" t="s">
        <v>107</v>
      </c>
      <c r="C43" s="6">
        <f>C37*(1-Inputs!B22)</f>
        <v>20279.878568383065</v>
      </c>
      <c r="D43" s="6">
        <f>D37*(1-Inputs!B22)</f>
        <v>476.32564404478774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25">
      <c r="A45" s="4" t="s">
        <v>108</v>
      </c>
      <c r="C45" s="6">
        <f t="shared" ref="C45:J45" si="11">C21*IF(ISBLANK(C26),C12,C12+(C26-C12)*(0)/4)</f>
        <v>150.43926000000002</v>
      </c>
      <c r="D45" s="6">
        <f t="shared" si="11"/>
        <v>8.3013000000000012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25">
      <c r="A46" s="4" t="s">
        <v>109</v>
      </c>
      <c r="C46" s="6">
        <f t="shared" ref="C46:J46" si="12">C22*IF(ISBLANK(C26),C12,C12+(C26-C12)*(1)/4)</f>
        <v>172.25295270000004</v>
      </c>
      <c r="D46" s="6">
        <f t="shared" si="12"/>
        <v>8.7163649999999997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25">
      <c r="A47" s="4" t="s">
        <v>110</v>
      </c>
      <c r="C47" s="6">
        <f t="shared" ref="C47:J47" si="13">C23*IF(ISBLANK(C26),C12,C12+(C26-C12)*(2)/4)</f>
        <v>197.22963084150004</v>
      </c>
      <c r="D47" s="6">
        <f t="shared" si="13"/>
        <v>9.152183250000002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25">
      <c r="A48" s="4" t="s">
        <v>111</v>
      </c>
      <c r="C48" s="6">
        <f t="shared" ref="C48:J48" si="14">C24*IF(ISBLANK(C26),C12,C12+(C26-C12)*(3)/4)</f>
        <v>225.82792731351753</v>
      </c>
      <c r="D48" s="6">
        <f t="shared" si="14"/>
        <v>9.6097924125000009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25">
      <c r="A49" s="4" t="s">
        <v>112</v>
      </c>
      <c r="C49" s="6">
        <f t="shared" ref="C49:J49" si="15">C25*IF(ISBLANK(C26),C12,C12+(C26-C12)*(4)/4)</f>
        <v>258.57297677397759</v>
      </c>
      <c r="D49" s="6">
        <f t="shared" si="15"/>
        <v>10.090282033125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25">
      <c r="A51" s="4" t="s">
        <v>113</v>
      </c>
      <c r="C51" s="6">
        <f t="shared" ref="C51:J55" si="16">C39-C45</f>
        <v>11257.435691679986</v>
      </c>
      <c r="D51" s="6">
        <f t="shared" si="16"/>
        <v>345.10061131248392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25">
      <c r="A52" s="4" t="s">
        <v>114</v>
      </c>
      <c r="C52" s="6">
        <f t="shared" si="16"/>
        <v>13001.709432120439</v>
      </c>
      <c r="D52" s="6">
        <f t="shared" si="16"/>
        <v>372.45464027623314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25">
      <c r="A53" s="4" t="s">
        <v>115</v>
      </c>
      <c r="C53" s="6">
        <f t="shared" si="16"/>
        <v>15015.134971871053</v>
      </c>
      <c r="D53" s="6">
        <f t="shared" si="16"/>
        <v>401.68132060807602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25">
      <c r="A54" s="4" t="s">
        <v>116</v>
      </c>
      <c r="C54" s="6">
        <f t="shared" si="16"/>
        <v>17339.092977339009</v>
      </c>
      <c r="D54" s="6">
        <f t="shared" si="16"/>
        <v>432.89953237241264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25">
      <c r="A55" s="4" t="s">
        <v>117</v>
      </c>
      <c r="C55" s="6">
        <f t="shared" si="16"/>
        <v>20021.305591609089</v>
      </c>
      <c r="D55" s="6">
        <f t="shared" si="16"/>
        <v>466.23536201166274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25">
      <c r="A57" s="4" t="s">
        <v>118</v>
      </c>
      <c r="C57" s="6">
        <f t="shared" ref="C57:J57" si="17">C51/((1+C16))</f>
        <v>10410.873873233093</v>
      </c>
      <c r="D57" s="6">
        <f t="shared" si="17"/>
        <v>319.14896396923069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25">
      <c r="A58" s="4" t="s">
        <v>119</v>
      </c>
      <c r="C58" s="6">
        <f t="shared" ref="C58:J58" si="18">C52/((1+C16)*(1+C16+(C104-C16)*1/5))</f>
        <v>11133.427502037957</v>
      </c>
      <c r="D58" s="6">
        <f t="shared" si="18"/>
        <v>318.93473369499742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25">
      <c r="A59" s="4" t="s">
        <v>120</v>
      </c>
      <c r="C59" s="6">
        <f t="shared" ref="C59:J59" si="19">C53/((1+C16)*(1+C16+(C104-C16)*1/5)*(1+C16+(C104-C16)*2/5))</f>
        <v>11919.88465011769</v>
      </c>
      <c r="D59" s="6">
        <f t="shared" si="19"/>
        <v>318.87791996042046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25">
      <c r="A60" s="4" t="s">
        <v>121</v>
      </c>
      <c r="C60" s="6">
        <f t="shared" ref="C60:J60" si="20">C54/((1+C16)*(1+C16+(C104-C16)*1/5)*(1+C16+(C104-C16)*2/5)*(1+C16+(C104-C16)*3/5))</f>
        <v>12776.676265233114</v>
      </c>
      <c r="D60" s="6">
        <f t="shared" si="20"/>
        <v>318.99114836755155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25">
      <c r="A61" s="4" t="s">
        <v>122</v>
      </c>
      <c r="C61" s="6">
        <f t="shared" ref="C61:J61" si="21">C55/((1+C16)*(1+C16+(C104-C16)*1/5)*(1+C16+(C104-C16)*2/5)*(1+C16+(C104-C16)*3/5)*(1+C16+(C104-C16)*4/5))</f>
        <v>13710.95140018874</v>
      </c>
      <c r="D61" s="6">
        <f t="shared" si="21"/>
        <v>319.28639020776023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25">
      <c r="A62" s="3" t="s">
        <v>123</v>
      </c>
    </row>
    <row r="63" spans="1:10" x14ac:dyDescent="0.25">
      <c r="A63" s="4" t="s">
        <v>124</v>
      </c>
      <c r="C63" s="6">
        <f t="shared" ref="C63:J63" si="22">C25*(1+(C6+(C13-C6)*1/5))</f>
        <v>72592.476296146648</v>
      </c>
      <c r="D63" s="6">
        <f t="shared" si="22"/>
        <v>5272.0250948874182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25">
      <c r="A64" s="4" t="s">
        <v>125</v>
      </c>
      <c r="C64" s="6">
        <f t="shared" ref="C64:J64" si="23">C63*(1+(C6+(C13-C6)*2/5))</f>
        <v>79920.078460367004</v>
      </c>
      <c r="D64" s="6">
        <f t="shared" si="23"/>
        <v>5482.598318371749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25">
      <c r="A65" s="4" t="s">
        <v>126</v>
      </c>
      <c r="C65" s="6">
        <f t="shared" ref="C65:J65" si="24">C64*(1+(C6+(C13-C6)*3/5))</f>
        <v>86226.766069150151</v>
      </c>
      <c r="D65" s="6">
        <f t="shared" si="24"/>
        <v>5674.0091491816193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25">
      <c r="A66" s="4" t="s">
        <v>127</v>
      </c>
      <c r="C66" s="6">
        <f t="shared" ref="C66:J66" si="25">C65*(1+(C6+(C13-C6)*4/5))</f>
        <v>91131.623914694821</v>
      </c>
      <c r="D66" s="6">
        <f t="shared" si="25"/>
        <v>5843.5669274549209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25">
      <c r="A67" s="4" t="s">
        <v>128</v>
      </c>
      <c r="C67" s="6">
        <f t="shared" ref="C67:J67" si="26">C66*(1+(C6+(C13-C6)*5/5))</f>
        <v>94307.930113405702</v>
      </c>
      <c r="D67" s="6">
        <f t="shared" si="26"/>
        <v>5988.8032334721902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25">
      <c r="A69" s="4" t="s">
        <v>129</v>
      </c>
      <c r="C69" s="11">
        <f t="shared" ref="C69:J69" si="27">IF(ISBLANK(C9),C7,C9)</f>
        <v>0.44</v>
      </c>
      <c r="D69" s="11">
        <f t="shared" si="27"/>
        <v>0.1324162009747181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25">
      <c r="A70" s="4" t="s">
        <v>130</v>
      </c>
      <c r="C70" s="11">
        <f t="shared" ref="C70:J70" si="28">IF(ISBLANK(C9),C7,C9)</f>
        <v>0.44</v>
      </c>
      <c r="D70" s="11">
        <f t="shared" si="28"/>
        <v>0.1324162009747181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25">
      <c r="A71" s="4" t="s">
        <v>131</v>
      </c>
      <c r="C71" s="11">
        <f t="shared" ref="C71:J71" si="29">IF(ISBLANK(C9),C7,C9)</f>
        <v>0.44</v>
      </c>
      <c r="D71" s="11">
        <f t="shared" si="29"/>
        <v>0.1324162009747181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25">
      <c r="A72" s="4" t="s">
        <v>132</v>
      </c>
      <c r="C72" s="11">
        <f t="shared" ref="C72:J72" si="30">IF(ISBLANK(C9),C7,C9)</f>
        <v>0.44</v>
      </c>
      <c r="D72" s="11">
        <f t="shared" si="30"/>
        <v>0.1324162009747181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25">
      <c r="A73" s="4" t="s">
        <v>133</v>
      </c>
      <c r="C73" s="11">
        <f t="shared" ref="C73:J73" si="31">IF(ISBLANK(C9),C7,C9)</f>
        <v>0.44</v>
      </c>
      <c r="D73" s="11">
        <f t="shared" si="31"/>
        <v>0.1324162009747181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25">
      <c r="A75" s="4" t="s">
        <v>134</v>
      </c>
      <c r="C75" s="6">
        <f t="shared" ref="C75:J79" si="32">C63*C69</f>
        <v>31940.689570304527</v>
      </c>
      <c r="D75" s="6">
        <f t="shared" si="32"/>
        <v>698.10153450836958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25">
      <c r="A76" s="4" t="s">
        <v>135</v>
      </c>
      <c r="C76" s="6">
        <f t="shared" si="32"/>
        <v>35164.834522561483</v>
      </c>
      <c r="D76" s="6">
        <f t="shared" si="32"/>
        <v>725.98484078916499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25">
      <c r="A77" s="4" t="s">
        <v>136</v>
      </c>
      <c r="C77" s="6">
        <f t="shared" si="32"/>
        <v>37939.777070426069</v>
      </c>
      <c r="D77" s="6">
        <f t="shared" si="32"/>
        <v>751.33073583042255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25">
      <c r="A78" s="4" t="s">
        <v>137</v>
      </c>
      <c r="C78" s="6">
        <f t="shared" si="32"/>
        <v>40097.914522465719</v>
      </c>
      <c r="D78" s="6">
        <f t="shared" si="32"/>
        <v>773.78293267508673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25">
      <c r="A79" s="4" t="s">
        <v>138</v>
      </c>
      <c r="C79" s="6">
        <f t="shared" si="32"/>
        <v>41495.489249898506</v>
      </c>
      <c r="D79" s="6">
        <f t="shared" si="32"/>
        <v>793.01457256149513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25">
      <c r="A81" s="4" t="s">
        <v>139</v>
      </c>
      <c r="C81" s="6">
        <f>C75*(1-Inputs!B22)</f>
        <v>22773.711663627131</v>
      </c>
      <c r="D81" s="6">
        <f>D75*(1-Inputs!B22)</f>
        <v>497.74639410446758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25">
      <c r="A82" s="4" t="s">
        <v>140</v>
      </c>
      <c r="C82" s="6">
        <f>C76*(1-Inputs!B22)</f>
        <v>25072.52701458634</v>
      </c>
      <c r="D82" s="6">
        <f>D76*(1-Inputs!B22)</f>
        <v>517.62719148267468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25">
      <c r="A83" s="4" t="s">
        <v>141</v>
      </c>
      <c r="C83" s="6">
        <f>C77*(1-Inputs!B22)</f>
        <v>27051.06105121379</v>
      </c>
      <c r="D83" s="6">
        <f>D77*(1-Inputs!B22)</f>
        <v>535.69881464709135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25">
      <c r="A84" s="4" t="s">
        <v>142</v>
      </c>
      <c r="C84" s="6">
        <f>C78*(1-Inputs!B22)</f>
        <v>28589.813054518061</v>
      </c>
      <c r="D84" s="6">
        <f>D78*(1-Inputs!B22)</f>
        <v>551.70723099733686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25">
      <c r="A85" s="4" t="s">
        <v>143</v>
      </c>
      <c r="C85" s="6">
        <f>C79*(1-Inputs!B22)</f>
        <v>29586.283835177637</v>
      </c>
      <c r="D85" s="6">
        <f>D79*(1-Inputs!B22)</f>
        <v>565.41939023634609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25">
      <c r="A87" s="4" t="s">
        <v>144</v>
      </c>
      <c r="C87" s="6">
        <f t="shared" ref="C87:J87" si="33">C63*MAX(IF(ISBLANK(C26),C12,C26),0)</f>
        <v>290.36990518458657</v>
      </c>
      <c r="D87" s="6">
        <f t="shared" si="33"/>
        <v>10.544050189774836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25">
      <c r="A88" s="4" t="s">
        <v>145</v>
      </c>
      <c r="C88" s="6">
        <f t="shared" ref="C88:J88" si="34">C64*MAX(IF(ISBLANK(C26),C12,C26),0)</f>
        <v>319.68031384146803</v>
      </c>
      <c r="D88" s="6">
        <f t="shared" si="34"/>
        <v>10.965196636743498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25">
      <c r="A89" s="4" t="s">
        <v>146</v>
      </c>
      <c r="C89" s="6">
        <f t="shared" ref="C89:J89" si="35">C65*MAX(IF(ISBLANK(C26),C12,C26),0)</f>
        <v>344.90706427660064</v>
      </c>
      <c r="D89" s="6">
        <f t="shared" si="35"/>
        <v>11.34801829836324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25">
      <c r="A90" s="4" t="s">
        <v>147</v>
      </c>
      <c r="C90" s="6">
        <f t="shared" ref="C90:J90" si="36">C66*MAX(IF(ISBLANK(C26),C12,C26),0)</f>
        <v>364.52649565877931</v>
      </c>
      <c r="D90" s="6">
        <f t="shared" si="36"/>
        <v>11.687133854909842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25">
      <c r="A91" s="4" t="s">
        <v>148</v>
      </c>
      <c r="C91" s="6">
        <f t="shared" ref="C91:J91" si="37">C67*MAX(IF(ISBLANK(C26),C12,C26),0)</f>
        <v>377.23172045362281</v>
      </c>
      <c r="D91" s="6">
        <f t="shared" si="37"/>
        <v>11.97760646694438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25">
      <c r="A93" s="4" t="s">
        <v>149</v>
      </c>
      <c r="C93" s="6">
        <f t="shared" ref="C93:J97" si="38">C81-C87</f>
        <v>22483.341758442544</v>
      </c>
      <c r="D93" s="6">
        <f t="shared" si="38"/>
        <v>487.20234391469273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25">
      <c r="A94" s="4" t="s">
        <v>150</v>
      </c>
      <c r="C94" s="6">
        <f t="shared" si="38"/>
        <v>24752.846700744871</v>
      </c>
      <c r="D94" s="6">
        <f t="shared" si="38"/>
        <v>506.66199484593119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25">
      <c r="A95" s="4" t="s">
        <v>151</v>
      </c>
      <c r="C95" s="6">
        <f t="shared" si="38"/>
        <v>26706.153986937188</v>
      </c>
      <c r="D95" s="6">
        <f t="shared" si="38"/>
        <v>524.35079634872807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25">
      <c r="A96" s="4" t="s">
        <v>152</v>
      </c>
      <c r="C96" s="6">
        <f t="shared" si="38"/>
        <v>28225.286558859283</v>
      </c>
      <c r="D96" s="6">
        <f t="shared" si="38"/>
        <v>540.02009714242706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25">
      <c r="A97" s="4" t="s">
        <v>153</v>
      </c>
      <c r="C97" s="6">
        <f t="shared" si="38"/>
        <v>29209.052114724014</v>
      </c>
      <c r="D97" s="6">
        <f t="shared" si="38"/>
        <v>553.4417837694017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25">
      <c r="A99" s="4" t="s">
        <v>154</v>
      </c>
      <c r="C99" s="6">
        <f t="shared" ref="C99:J99" si="39">C93/(((1+C16)*(1+C16+(C104-C16)*1/5)*(1+C16+(C104-C16)*2/5)*(1+C16+(C104-C16)*3/5)*(1+C16+(C104-C16)*4/5))*(1+C104)^1)</f>
        <v>14327.003893839936</v>
      </c>
      <c r="D99" s="6">
        <f t="shared" si="39"/>
        <v>310.45873666589995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25">
      <c r="A100" s="4" t="s">
        <v>155</v>
      </c>
      <c r="C100" s="6">
        <f t="shared" ref="C100:J100" si="40">C94/(((1+C16)*(1+C16+(C104-C16)*1/5)*(1+C16+(C104-C16)*2/5)*(1+C16+(C104-C16)*3/5)*(1+C16+(C104-C16)*4/5))*(1+C104)^2)</f>
        <v>14677.057274046305</v>
      </c>
      <c r="D100" s="6">
        <f t="shared" si="40"/>
        <v>300.42229917387681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25">
      <c r="A101" s="4" t="s">
        <v>156</v>
      </c>
      <c r="C101" s="6">
        <f t="shared" ref="C101:J101" si="41">C95/(((1+C16)*(1+C16+(C104-C16)*1/5)*(1+C16+(C104-C16)*2/5)*(1+C16+(C104-C16)*3/5)*(1+C16+(C104-C16)*4/5))*(1+C104)^3)</f>
        <v>14734.808824857029</v>
      </c>
      <c r="D101" s="6">
        <f t="shared" si="41"/>
        <v>289.30443317069086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25">
      <c r="A102" s="4" t="s">
        <v>157</v>
      </c>
      <c r="C102" s="6">
        <f t="shared" ref="C102:J102" si="42">C96/(((1+C16)*(1+C16+(C104-C16)*1/5)*(1+C16+(C104-C16)*2/5)*(1+C16+(C104-C16)*3/5)*(1+C16+(C104-C16)*4/5))*(1+C104)^4)</f>
        <v>14490.74908386887</v>
      </c>
      <c r="D102" s="6">
        <f t="shared" si="42"/>
        <v>277.2441552229775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25">
      <c r="A103" s="4" t="s">
        <v>158</v>
      </c>
      <c r="C103" s="6">
        <f t="shared" ref="C103:J103" si="43">C97/(((1+C16)*(1+C16+(C104-C16)*1/5)*(1+C16+(C104-C16)*2/5)*(1+C16+(C104-C16)*3/5)*(1+C16+(C104-C16)*4/5))*(1+C104)^5)</f>
        <v>13953.696098184835</v>
      </c>
      <c r="D103" s="6">
        <f t="shared" si="43"/>
        <v>264.38921839790498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25">
      <c r="A104" s="4" t="s">
        <v>159</v>
      </c>
      <c r="C104" s="11">
        <f>MAX((Inputs!B18+((1+(1-Inputs!B22)*(Inputs!B36/(1-Inputs!B36)))/(1+(1-Inputs!B22)*0.25))*Inputs!B19+IF(ISBLANK(C17),Inputs!B24,C17)+Inputs!B25+Inputs!B39)*(1-Inputs!B36)+Inputs!B38*Inputs!B36,C15)</f>
        <v>7.4683745080080466E-2</v>
      </c>
      <c r="D104" s="11">
        <f>MAX((Inputs!B18+((1+(1-Inputs!B22)*(Inputs!B36/(1-Inputs!B36)))/(1+(1-Inputs!B22)*0.25))*Inputs!B19+IF(ISBLANK(D17),Inputs!B24,D17)+Inputs!B25+Inputs!B39)*(1-Inputs!B36)+Inputs!B38*Inputs!B36,D15)</f>
        <v>7.4683745080080466E-2</v>
      </c>
      <c r="E104" s="11">
        <f>MAX((Inputs!B18+((1+(1-Inputs!B22)*(Inputs!B36/(1-Inputs!B36)))/(1+(1-Inputs!B22)*0.25))*Inputs!B19+IF(ISBLANK(E17),Inputs!B24,E17)+Inputs!B25+Inputs!B39)*(1-Inputs!B36)+Inputs!B38*Inputs!B36,E15)</f>
        <v>7.4683745080080466E-2</v>
      </c>
      <c r="F104" s="11">
        <f>MAX((Inputs!B18+((1+(1-Inputs!B22)*(Inputs!B36/(1-Inputs!B36)))/(1+(1-Inputs!B22)*0.25))*Inputs!B19+IF(ISBLANK(F17),Inputs!B24,F17)+Inputs!B25+Inputs!B39)*(1-Inputs!B36)+Inputs!B38*Inputs!B36,F15)</f>
        <v>7.4683745080080466E-2</v>
      </c>
      <c r="G104" s="11">
        <f>MAX((Inputs!B18+((1+(1-Inputs!B22)*(Inputs!B36/(1-Inputs!B36)))/(1+(1-Inputs!B22)*0.25))*Inputs!B19+IF(ISBLANK(G17),Inputs!B24,G17)+Inputs!B25+Inputs!B39)*(1-Inputs!B36)+Inputs!B38*Inputs!B36,G15)</f>
        <v>7.4683745080080466E-2</v>
      </c>
      <c r="H104" s="11">
        <f>MAX((Inputs!B18+((1+(1-Inputs!B22)*(Inputs!B36/(1-Inputs!B36)))/(1+(1-Inputs!B22)*0.25))*Inputs!B19+IF(ISBLANK(H17),Inputs!B24,H17)+Inputs!B25+Inputs!B39)*(1-Inputs!B36)+Inputs!B38*Inputs!B36,H15)</f>
        <v>7.4683745080080466E-2</v>
      </c>
      <c r="I104" s="11">
        <f>MAX((Inputs!B18+((1+(1-Inputs!B22)*(Inputs!B36/(1-Inputs!B36)))/(1+(1-Inputs!B22)*0.25))*Inputs!B19+IF(ISBLANK(I17),Inputs!B24,I17)+Inputs!B25+Inputs!B39)*(1-Inputs!B36)+Inputs!B38*Inputs!B36,I15)</f>
        <v>7.4683745080080466E-2</v>
      </c>
      <c r="J104" s="11">
        <f>MAX((Inputs!B18+((1+(1-Inputs!B22)*(Inputs!B36/(1-Inputs!B36)))/(1+(1-Inputs!B22)*0.25))*Inputs!B19+IF(ISBLANK(J17),Inputs!B24,J17)+Inputs!B25+Inputs!B39)*(1-Inputs!B36)+Inputs!B38*Inputs!B36,J15)</f>
        <v>7.4683745080080466E-2</v>
      </c>
    </row>
    <row r="105" spans="1:11" x14ac:dyDescent="0.25">
      <c r="A105" s="4" t="s">
        <v>160</v>
      </c>
      <c r="C105" s="6">
        <f t="shared" ref="C105:J105" si="44">SUM(C57:C61,C99:C103)</f>
        <v>132135.12886560758</v>
      </c>
      <c r="D105" s="6">
        <f t="shared" si="44"/>
        <v>3037.0579988313107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25">
      <c r="A106" s="4" t="s">
        <v>161</v>
      </c>
      <c r="C106" s="6">
        <f t="shared" ref="C106:J106" si="45">IF(C5=0,0,C97*(1+C13)/(C104-C13))</f>
        <v>758908.79929805186</v>
      </c>
      <c r="D106" s="6">
        <f t="shared" si="45"/>
        <v>11382.711765190596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25">
      <c r="A107" s="4" t="s">
        <v>162</v>
      </c>
      <c r="C107" s="6">
        <f t="shared" ref="C107:J107" si="46">C106/(((1+C16)*(1+C16+(C104-C16)*1/5)*(1+C16+(C104-C16)*2/5)*(1+C16+(C104-C16)*3/5)*(1+C16+(C104-C16)*4/5))*(1+C104)^5)</f>
        <v>362544.55331350013</v>
      </c>
      <c r="D107" s="6">
        <f t="shared" si="46"/>
        <v>5437.7286918063819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25">
      <c r="A109" s="19" t="s">
        <v>163</v>
      </c>
      <c r="C109" s="20">
        <f t="shared" ref="C109:J109" si="47">C105+C107</f>
        <v>494679.68217910768</v>
      </c>
      <c r="D109" s="20">
        <f t="shared" si="47"/>
        <v>8474.786690637693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503154.46886974538</v>
      </c>
    </row>
    <row r="110" spans="1:11" x14ac:dyDescent="0.25">
      <c r="A110" s="4" t="s">
        <v>164</v>
      </c>
      <c r="K110" s="11">
        <f>IFERROR(SUMPRODUCT(C109:J109,C16:J16)/SUM(C109:J109),0)</f>
        <v>8.1315154592684818E-2</v>
      </c>
    </row>
    <row r="111" spans="1:11" x14ac:dyDescent="0.25">
      <c r="A111" s="4" t="s">
        <v>165</v>
      </c>
      <c r="K111" s="5">
        <v>-3381</v>
      </c>
    </row>
    <row r="112" spans="1:11" x14ac:dyDescent="0.25">
      <c r="A112" s="4" t="s">
        <v>166</v>
      </c>
      <c r="K112" s="5">
        <v>500</v>
      </c>
    </row>
    <row r="113" spans="1:11" x14ac:dyDescent="0.25">
      <c r="A113" s="4" t="s">
        <v>167</v>
      </c>
      <c r="K113" s="5">
        <v>-43895.202687724217</v>
      </c>
    </row>
    <row r="114" spans="1:11" x14ac:dyDescent="0.25">
      <c r="A114" s="4" t="s">
        <v>168</v>
      </c>
      <c r="K114" s="5">
        <v>0</v>
      </c>
    </row>
    <row r="115" spans="1:11" x14ac:dyDescent="0.25">
      <c r="A115" s="4" t="s">
        <v>169</v>
      </c>
      <c r="K115" s="5">
        <v>0</v>
      </c>
    </row>
    <row r="116" spans="1:11" x14ac:dyDescent="0.25">
      <c r="A116" s="4" t="s">
        <v>170</v>
      </c>
      <c r="K116" s="5">
        <v>-52.5</v>
      </c>
    </row>
    <row r="117" spans="1:11" x14ac:dyDescent="0.25">
      <c r="A117" s="4" t="s">
        <v>171</v>
      </c>
      <c r="K117" s="5">
        <v>0</v>
      </c>
    </row>
    <row r="118" spans="1:11" x14ac:dyDescent="0.25">
      <c r="A118" s="4" t="s">
        <v>172</v>
      </c>
      <c r="K118" s="5">
        <v>0</v>
      </c>
    </row>
    <row r="119" spans="1:11" x14ac:dyDescent="0.25">
      <c r="A119" s="4" t="s">
        <v>173</v>
      </c>
      <c r="K119" s="20">
        <f>K109+K113+K114+K115+K116+K117+K118-K111-K112</f>
        <v>462087.76618202118</v>
      </c>
    </row>
    <row r="120" spans="1:11" x14ac:dyDescent="0.25">
      <c r="A120" s="4" t="s">
        <v>174</v>
      </c>
      <c r="K120" s="6">
        <f>Inputs!B11</f>
        <v>1166</v>
      </c>
    </row>
    <row r="122" spans="1:11" ht="15.75" customHeight="1" x14ac:dyDescent="0.25">
      <c r="A122" s="4" t="s">
        <v>175</v>
      </c>
      <c r="K122" s="21">
        <f>K119/K120</f>
        <v>396.30168626245387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2"/>
  <sheetViews>
    <sheetView workbookViewId="0"/>
  </sheetViews>
  <sheetFormatPr baseColWidth="10" defaultColWidth="9.140625" defaultRowHeight="15" x14ac:dyDescent="0.25"/>
  <cols>
    <col min="1" max="1" width="30" customWidth="1"/>
    <col min="2" max="2" width="4" customWidth="1"/>
    <col min="3" max="11" width="14" customWidth="1"/>
  </cols>
  <sheetData>
    <row r="1" spans="1:11" ht="18.75" customHeight="1" x14ac:dyDescent="0.3">
      <c r="A1" s="1" t="s">
        <v>177</v>
      </c>
    </row>
    <row r="2" spans="1:11" x14ac:dyDescent="0.25">
      <c r="A2" s="2" t="s">
        <v>54</v>
      </c>
    </row>
    <row r="3" spans="1:11" x14ac:dyDescent="0.25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25">
      <c r="A4" s="4" t="s">
        <v>64</v>
      </c>
      <c r="C4" s="14" t="s">
        <v>55</v>
      </c>
      <c r="D4" s="14" t="s">
        <v>56</v>
      </c>
      <c r="E4" s="14"/>
      <c r="F4" s="14"/>
      <c r="G4" s="14"/>
      <c r="H4" s="14"/>
      <c r="I4" s="14"/>
      <c r="J4" s="14"/>
    </row>
    <row r="5" spans="1:11" x14ac:dyDescent="0.25">
      <c r="A5" s="4" t="s">
        <v>65</v>
      </c>
      <c r="C5" s="5">
        <v>32847</v>
      </c>
      <c r="D5" s="5">
        <v>3953</v>
      </c>
      <c r="E5" s="5"/>
      <c r="F5" s="5"/>
      <c r="G5" s="5"/>
      <c r="H5" s="5"/>
      <c r="I5" s="5"/>
      <c r="J5" s="5"/>
    </row>
    <row r="6" spans="1:11" x14ac:dyDescent="0.25">
      <c r="A6" s="4" t="s">
        <v>66</v>
      </c>
      <c r="C6" s="7">
        <v>7.5000000000000011E-2</v>
      </c>
      <c r="D6" s="7">
        <v>2.029189951264097E-2</v>
      </c>
      <c r="E6" s="7"/>
      <c r="F6" s="7"/>
      <c r="G6" s="7"/>
      <c r="H6" s="7"/>
      <c r="I6" s="7"/>
      <c r="J6" s="7"/>
    </row>
    <row r="7" spans="1:11" x14ac:dyDescent="0.25">
      <c r="A7" s="4" t="s">
        <v>67</v>
      </c>
      <c r="C7" s="7">
        <v>0.376</v>
      </c>
      <c r="D7" s="7">
        <v>7.0000000000000007E-2</v>
      </c>
      <c r="E7" s="7"/>
      <c r="F7" s="7"/>
      <c r="G7" s="7"/>
      <c r="H7" s="7"/>
      <c r="I7" s="7"/>
      <c r="J7" s="7"/>
    </row>
    <row r="8" spans="1:11" x14ac:dyDescent="0.25">
      <c r="A8" s="4" t="s">
        <v>68</v>
      </c>
      <c r="C8" s="15">
        <v>0.40600000000000003</v>
      </c>
      <c r="D8" s="15">
        <v>0.109</v>
      </c>
      <c r="E8" s="15"/>
      <c r="F8" s="15"/>
      <c r="G8" s="15"/>
      <c r="H8" s="15"/>
      <c r="I8" s="15"/>
      <c r="J8" s="15"/>
    </row>
    <row r="9" spans="1:11" x14ac:dyDescent="0.25">
      <c r="A9" s="4" t="s">
        <v>69</v>
      </c>
      <c r="C9" s="7">
        <v>0.40058379902528191</v>
      </c>
      <c r="D9" s="7">
        <v>9.3583799025281938E-2</v>
      </c>
      <c r="E9" s="7"/>
      <c r="F9" s="7"/>
      <c r="G9" s="7"/>
      <c r="H9" s="7"/>
      <c r="I9" s="7"/>
      <c r="J9" s="7"/>
    </row>
    <row r="10" spans="1:11" x14ac:dyDescent="0.25">
      <c r="A10" s="4" t="s">
        <v>70</v>
      </c>
      <c r="C10" s="7">
        <v>0.02</v>
      </c>
      <c r="D10" s="7">
        <v>5.0000000000000001E-3</v>
      </c>
      <c r="E10" s="7"/>
      <c r="F10" s="7"/>
      <c r="G10" s="7"/>
      <c r="H10" s="7"/>
      <c r="I10" s="7"/>
      <c r="J10" s="7"/>
    </row>
    <row r="11" spans="1:11" x14ac:dyDescent="0.25">
      <c r="A11" s="4" t="s">
        <v>71</v>
      </c>
      <c r="C11" s="7">
        <v>2.1000000000000001E-2</v>
      </c>
      <c r="D11" s="7">
        <v>3.0000000000000001E-3</v>
      </c>
      <c r="E11" s="7"/>
      <c r="F11" s="7"/>
      <c r="G11" s="7"/>
      <c r="H11" s="7"/>
      <c r="I11" s="7"/>
      <c r="J11" s="7"/>
    </row>
    <row r="12" spans="1:11" x14ac:dyDescent="0.25">
      <c r="A12" s="4" t="s">
        <v>72</v>
      </c>
      <c r="C12" s="7">
        <v>4.0000000000000001E-3</v>
      </c>
      <c r="D12" s="7">
        <v>2E-3</v>
      </c>
      <c r="E12" s="7"/>
      <c r="F12" s="7"/>
      <c r="G12" s="7"/>
      <c r="H12" s="7"/>
      <c r="I12" s="7"/>
      <c r="J12" s="7"/>
    </row>
    <row r="13" spans="1:11" x14ac:dyDescent="0.25">
      <c r="A13" s="4" t="s">
        <v>73</v>
      </c>
      <c r="C13" s="7">
        <v>2.5145949756320479E-2</v>
      </c>
      <c r="D13" s="7">
        <v>1.5145949756320481E-2</v>
      </c>
      <c r="E13" s="7"/>
      <c r="F13" s="7"/>
      <c r="G13" s="7"/>
      <c r="H13" s="7"/>
      <c r="I13" s="7"/>
      <c r="J13" s="7"/>
    </row>
    <row r="14" spans="1:11" x14ac:dyDescent="0.25">
      <c r="A14" s="4" t="s">
        <v>74</v>
      </c>
      <c r="C14" s="9">
        <v>0.96</v>
      </c>
      <c r="D14" s="9">
        <v>0.96</v>
      </c>
      <c r="E14" s="9"/>
      <c r="F14" s="9"/>
      <c r="G14" s="9"/>
      <c r="H14" s="9"/>
      <c r="I14" s="9"/>
      <c r="J14" s="9"/>
    </row>
    <row r="15" spans="1:11" x14ac:dyDescent="0.25">
      <c r="A15" s="4" t="s">
        <v>75</v>
      </c>
      <c r="C15" s="7">
        <v>7.0099999999999996E-2</v>
      </c>
      <c r="D15" s="7">
        <v>7.0099999999999996E-2</v>
      </c>
      <c r="E15" s="7"/>
      <c r="F15" s="7"/>
      <c r="G15" s="7"/>
      <c r="H15" s="7"/>
      <c r="I15" s="7"/>
      <c r="J15" s="7"/>
    </row>
    <row r="16" spans="1:11" x14ac:dyDescent="0.25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8.1315154592684818E-2</v>
      </c>
      <c r="D16" s="11">
        <f>MAX((MAX(Inputs!B18+((1-0.33)*D14*(1+(1-Inputs!B22)*Inputs!B21)+0.33)*Inputs!B19+IF(ISBLANK(D17),Inputs!B24,D17)+Inputs!B25+Inputs!B39,MIN(Inputs!B27,0.08)+0.025))*Inputs!B29+Inputs!B28*Inputs!B30,D15)</f>
        <v>8.1315154592684818E-2</v>
      </c>
      <c r="E16" s="11">
        <f>MAX((MAX(Inputs!B18+((1-0.33)*E14*(1+(1-Inputs!B22)*Inputs!B21)+0.33)*Inputs!B19+IF(ISBLANK(E17),Inputs!B24,E17)+Inputs!B25+Inputs!B39,MIN(Inputs!B27,0.08)+0.025))*Inputs!B29+Inputs!B28*Inputs!B30,E15)</f>
        <v>5.7061101167315179E-2</v>
      </c>
      <c r="F16" s="11">
        <f>MAX((MAX(Inputs!B18+((1-0.33)*F14*(1+(1-Inputs!B22)*Inputs!B21)+0.33)*Inputs!B19+IF(ISBLANK(F17),Inputs!B24,F17)+Inputs!B25+Inputs!B39,MIN(Inputs!B27,0.08)+0.025))*Inputs!B29+Inputs!B28*Inputs!B30,F15)</f>
        <v>5.7061101167315179E-2</v>
      </c>
      <c r="G16" s="11">
        <f>MAX((MAX(Inputs!B18+((1-0.33)*G14*(1+(1-Inputs!B22)*Inputs!B21)+0.33)*Inputs!B19+IF(ISBLANK(G17),Inputs!B24,G17)+Inputs!B25+Inputs!B39,MIN(Inputs!B27,0.08)+0.025))*Inputs!B29+Inputs!B28*Inputs!B30,G15)</f>
        <v>5.7061101167315179E-2</v>
      </c>
      <c r="H16" s="11">
        <f>MAX((MAX(Inputs!B18+((1-0.33)*H14*(1+(1-Inputs!B22)*Inputs!B21)+0.33)*Inputs!B19+IF(ISBLANK(H17),Inputs!B24,H17)+Inputs!B25+Inputs!B39,MIN(Inputs!B27,0.08)+0.025))*Inputs!B29+Inputs!B28*Inputs!B30,H15)</f>
        <v>5.7061101167315179E-2</v>
      </c>
      <c r="I16" s="11">
        <f>MAX((MAX(Inputs!B18+((1-0.33)*I14*(1+(1-Inputs!B22)*Inputs!B21)+0.33)*Inputs!B19+IF(ISBLANK(I17),Inputs!B24,I17)+Inputs!B25+Inputs!B39,MIN(Inputs!B27,0.08)+0.025))*Inputs!B29+Inputs!B28*Inputs!B30,I15)</f>
        <v>5.7061101167315179E-2</v>
      </c>
      <c r="J16" s="11">
        <f>MAX((MAX(Inputs!B18+((1-0.33)*J14*(1+(1-Inputs!B22)*Inputs!B21)+0.33)*Inputs!B19+IF(ISBLANK(J17),Inputs!B24,J17)+Inputs!B25+Inputs!B39,MIN(Inputs!B27,0.08)+0.025))*Inputs!B29+Inputs!B28*Inputs!B30,J15)</f>
        <v>5.7061101167315179E-2</v>
      </c>
    </row>
    <row r="17" spans="1:10" x14ac:dyDescent="0.25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39.950000000000003" customHeight="1" x14ac:dyDescent="0.25">
      <c r="A18" s="17" t="s">
        <v>78</v>
      </c>
      <c r="C18" s="18" t="s">
        <v>79</v>
      </c>
      <c r="D18" s="18" t="s">
        <v>80</v>
      </c>
      <c r="E18" s="18"/>
      <c r="F18" s="18"/>
      <c r="G18" s="18"/>
      <c r="H18" s="18"/>
      <c r="I18" s="18"/>
      <c r="J18" s="18"/>
    </row>
    <row r="19" spans="1:10" ht="39.950000000000003" customHeight="1" x14ac:dyDescent="0.25">
      <c r="A19" s="17" t="s">
        <v>81</v>
      </c>
      <c r="C19" s="18" t="s">
        <v>82</v>
      </c>
      <c r="D19" s="18" t="s">
        <v>83</v>
      </c>
      <c r="E19" s="18"/>
      <c r="F19" s="18"/>
      <c r="G19" s="18"/>
      <c r="H19" s="18"/>
      <c r="I19" s="18"/>
      <c r="J19" s="18"/>
    </row>
    <row r="20" spans="1:10" ht="27.95" customHeight="1" x14ac:dyDescent="0.25">
      <c r="A20" s="17" t="s">
        <v>84</v>
      </c>
      <c r="C20" s="18" t="s">
        <v>85</v>
      </c>
      <c r="D20" s="18" t="s">
        <v>86</v>
      </c>
      <c r="E20" s="18"/>
      <c r="F20" s="18"/>
      <c r="G20" s="18"/>
      <c r="H20" s="18"/>
      <c r="I20" s="18"/>
      <c r="J20" s="18"/>
    </row>
    <row r="21" spans="1:10" x14ac:dyDescent="0.25">
      <c r="A21" s="4" t="s">
        <v>87</v>
      </c>
      <c r="C21" s="6">
        <f t="shared" ref="C21:J21" si="0">C5*(1+C6)^1</f>
        <v>35310.525000000001</v>
      </c>
      <c r="D21" s="6">
        <f t="shared" si="0"/>
        <v>4033.2138787734693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25">
      <c r="A22" s="4" t="s">
        <v>88</v>
      </c>
      <c r="C22" s="6">
        <f t="shared" ref="C22:J22" si="1">C5*(1+C6)^2</f>
        <v>37958.814374999994</v>
      </c>
      <c r="D22" s="6">
        <f t="shared" si="1"/>
        <v>4115.0554495145298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25">
      <c r="A23" s="4" t="s">
        <v>89</v>
      </c>
      <c r="C23" s="6">
        <f t="shared" ref="C23:J23" si="2">C5*(1+C6)^3</f>
        <v>40805.725453124993</v>
      </c>
      <c r="D23" s="6">
        <f t="shared" si="2"/>
        <v>4198.5577411850236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25">
      <c r="A24" s="4" t="s">
        <v>90</v>
      </c>
      <c r="C24" s="6">
        <f t="shared" ref="C24:J24" si="3">C5*(1+C6)^4</f>
        <v>43866.154862109368</v>
      </c>
      <c r="D24" s="6">
        <f t="shared" si="3"/>
        <v>4283.7544529671704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25">
      <c r="A25" s="4" t="s">
        <v>91</v>
      </c>
      <c r="C25" s="6">
        <f t="shared" ref="C25:J25" si="4">C5*(1+C6)^5</f>
        <v>47156.116476767573</v>
      </c>
      <c r="D25" s="6">
        <f t="shared" si="4"/>
        <v>4370.679967863608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25">
      <c r="A26" s="4" t="s">
        <v>92</v>
      </c>
      <c r="C26" s="7"/>
      <c r="D26" s="7"/>
      <c r="E26" s="7"/>
      <c r="F26" s="7"/>
      <c r="G26" s="7"/>
      <c r="H26" s="7"/>
      <c r="I26" s="7"/>
      <c r="J26" s="7"/>
    </row>
    <row r="27" spans="1:10" x14ac:dyDescent="0.25">
      <c r="A27" s="4" t="s">
        <v>93</v>
      </c>
      <c r="C27" s="11">
        <f t="shared" ref="C27:J27" si="5">IF(ISBLANK(C9),C7,C7+(C9-C7)*(0)/4)</f>
        <v>0.376</v>
      </c>
      <c r="D27" s="11">
        <f t="shared" si="5"/>
        <v>7.0000000000000007E-2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25">
      <c r="A28" s="4" t="s">
        <v>94</v>
      </c>
      <c r="C28" s="11">
        <f t="shared" ref="C28:J28" si="6">IF(ISBLANK(C9),C7,C7+(C9-C7)*(1)/4)</f>
        <v>0.38214594975632049</v>
      </c>
      <c r="D28" s="11">
        <f t="shared" si="6"/>
        <v>7.5895949756320497E-2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25">
      <c r="A29" s="4" t="s">
        <v>95</v>
      </c>
      <c r="C29" s="11">
        <f t="shared" ref="C29:J29" si="7">IF(ISBLANK(C9),C7,C7+(C9-C7)*(2)/4)</f>
        <v>0.38829189951264098</v>
      </c>
      <c r="D29" s="11">
        <f t="shared" si="7"/>
        <v>8.1791899512640973E-2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25">
      <c r="A30" s="4" t="s">
        <v>96</v>
      </c>
      <c r="C30" s="11">
        <f t="shared" ref="C30:J30" si="8">IF(ISBLANK(C9),C7,C7+(C9-C7)*(3)/4)</f>
        <v>0.39443784926896142</v>
      </c>
      <c r="D30" s="11">
        <f t="shared" si="8"/>
        <v>8.7687849268961449E-2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25">
      <c r="A31" s="4" t="s">
        <v>97</v>
      </c>
      <c r="C31" s="11">
        <f t="shared" ref="C31:J31" si="9">IF(ISBLANK(C9),C7,C7+(C9-C7)*(4)/4)</f>
        <v>0.40058379902528191</v>
      </c>
      <c r="D31" s="11">
        <f t="shared" si="9"/>
        <v>9.3583799025281938E-2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25">
      <c r="A33" s="4" t="s">
        <v>98</v>
      </c>
      <c r="C33" s="6">
        <f t="shared" ref="C33:J37" si="10">C21*C27</f>
        <v>13276.7574</v>
      </c>
      <c r="D33" s="6">
        <f t="shared" si="10"/>
        <v>282.32497151414287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25">
      <c r="A34" s="4" t="s">
        <v>99</v>
      </c>
      <c r="C34" s="6">
        <f t="shared" si="10"/>
        <v>14505.807170958244</v>
      </c>
      <c r="D34" s="6">
        <f t="shared" si="10"/>
        <v>312.31604164082762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25">
      <c r="A35" s="4" t="s">
        <v>100</v>
      </c>
      <c r="C35" s="6">
        <f t="shared" si="10"/>
        <v>15844.532647185226</v>
      </c>
      <c r="D35" s="6">
        <f t="shared" si="10"/>
        <v>343.40801286502631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25">
      <c r="A36" s="4" t="s">
        <v>101</v>
      </c>
      <c r="C36" s="6">
        <f t="shared" si="10"/>
        <v>17302.471779509615</v>
      </c>
      <c r="D36" s="6">
        <f t="shared" si="10"/>
        <v>375.63321477702766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25">
      <c r="A37" s="4" t="s">
        <v>102</v>
      </c>
      <c r="C37" s="6">
        <f t="shared" si="10"/>
        <v>18889.976285542245</v>
      </c>
      <c r="D37" s="6">
        <f t="shared" si="10"/>
        <v>409.02483571637362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25">
      <c r="A39" s="4" t="s">
        <v>103</v>
      </c>
      <c r="C39" s="6">
        <f>C33*(1-Inputs!B22)</f>
        <v>9466.3280262000007</v>
      </c>
      <c r="D39" s="6">
        <f>D33*(1-Inputs!B22)</f>
        <v>201.2977046895839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25">
      <c r="A40" s="4" t="s">
        <v>104</v>
      </c>
      <c r="C40" s="6">
        <f>C34*(1-Inputs!B22)</f>
        <v>10342.640512893229</v>
      </c>
      <c r="D40" s="6">
        <f>D34*(1-Inputs!B22)</f>
        <v>222.68133768991012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25">
      <c r="A41" s="4" t="s">
        <v>105</v>
      </c>
      <c r="C41" s="6">
        <f>C35*(1-Inputs!B22)</f>
        <v>11297.151777443067</v>
      </c>
      <c r="D41" s="6">
        <f>D35*(1-Inputs!B22)</f>
        <v>244.84991317276379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25">
      <c r="A42" s="4" t="s">
        <v>106</v>
      </c>
      <c r="C42" s="6">
        <f>C36*(1-Inputs!B22)</f>
        <v>12336.662378790357</v>
      </c>
      <c r="D42" s="6">
        <f>D36*(1-Inputs!B22)</f>
        <v>267.82648213602073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25">
      <c r="A43" s="4" t="s">
        <v>107</v>
      </c>
      <c r="C43" s="6">
        <f>C37*(1-Inputs!B22)</f>
        <v>13468.553091591622</v>
      </c>
      <c r="D43" s="6">
        <f>D37*(1-Inputs!B22)</f>
        <v>291.63470786577443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25">
      <c r="A45" s="4" t="s">
        <v>108</v>
      </c>
      <c r="C45" s="6">
        <f t="shared" ref="C45:J45" si="11">C21*IF(ISBLANK(C26),C12,C12+(C26-C12)*(0)/4)</f>
        <v>141.24210000000002</v>
      </c>
      <c r="D45" s="6">
        <f t="shared" si="11"/>
        <v>8.0664277575469381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25">
      <c r="A46" s="4" t="s">
        <v>109</v>
      </c>
      <c r="C46" s="6">
        <f t="shared" ref="C46:J46" si="12">C22*IF(ISBLANK(C26),C12,C12+(C26-C12)*(1)/4)</f>
        <v>151.83525749999998</v>
      </c>
      <c r="D46" s="6">
        <f t="shared" si="12"/>
        <v>8.230110899029059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25">
      <c r="A47" s="4" t="s">
        <v>110</v>
      </c>
      <c r="C47" s="6">
        <f t="shared" ref="C47:J47" si="13">C23*IF(ISBLANK(C26),C12,C12+(C26-C12)*(2)/4)</f>
        <v>163.22290181249997</v>
      </c>
      <c r="D47" s="6">
        <f t="shared" si="13"/>
        <v>8.3971154823700473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25">
      <c r="A48" s="4" t="s">
        <v>111</v>
      </c>
      <c r="C48" s="6">
        <f t="shared" ref="C48:J48" si="14">C24*IF(ISBLANK(C26),C12,C12+(C26-C12)*(3)/4)</f>
        <v>175.46461944843747</v>
      </c>
      <c r="D48" s="6">
        <f t="shared" si="14"/>
        <v>8.567508905934341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25">
      <c r="A49" s="4" t="s">
        <v>112</v>
      </c>
      <c r="C49" s="6">
        <f t="shared" ref="C49:J49" si="15">C25*IF(ISBLANK(C26),C12,C12+(C26-C12)*(4)/4)</f>
        <v>188.62446590707029</v>
      </c>
      <c r="D49" s="6">
        <f t="shared" si="15"/>
        <v>8.7413599357272158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25">
      <c r="A51" s="4" t="s">
        <v>113</v>
      </c>
      <c r="C51" s="6">
        <f t="shared" ref="C51:J55" si="16">C39-C45</f>
        <v>9325.0859262000013</v>
      </c>
      <c r="D51" s="6">
        <f t="shared" si="16"/>
        <v>193.23127693203696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25">
      <c r="A52" s="4" t="s">
        <v>114</v>
      </c>
      <c r="C52" s="6">
        <f t="shared" si="16"/>
        <v>10190.805255393228</v>
      </c>
      <c r="D52" s="6">
        <f t="shared" si="16"/>
        <v>214.45122679088107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25">
      <c r="A53" s="4" t="s">
        <v>115</v>
      </c>
      <c r="C53" s="6">
        <f t="shared" si="16"/>
        <v>11133.928875630567</v>
      </c>
      <c r="D53" s="6">
        <f t="shared" si="16"/>
        <v>236.45279769039374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25">
      <c r="A54" s="4" t="s">
        <v>116</v>
      </c>
      <c r="C54" s="6">
        <f t="shared" si="16"/>
        <v>12161.19775934192</v>
      </c>
      <c r="D54" s="6">
        <f t="shared" si="16"/>
        <v>259.25897323008638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25">
      <c r="A55" s="4" t="s">
        <v>117</v>
      </c>
      <c r="C55" s="6">
        <f t="shared" si="16"/>
        <v>13279.928625684552</v>
      </c>
      <c r="D55" s="6">
        <f t="shared" si="16"/>
        <v>282.89334793004724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25">
      <c r="A57" s="4" t="s">
        <v>118</v>
      </c>
      <c r="C57" s="6">
        <f t="shared" ref="C57:J57" si="17">C51/((1+C16))</f>
        <v>8623.837265753129</v>
      </c>
      <c r="D57" s="6">
        <f t="shared" si="17"/>
        <v>178.70023934402758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25">
      <c r="A58" s="4" t="s">
        <v>119</v>
      </c>
      <c r="C58" s="6">
        <f t="shared" ref="C58:J58" si="18">C52/((1+C16)*(1+C16+(C104-C16)*1/5))</f>
        <v>8726.4364805762343</v>
      </c>
      <c r="D58" s="6">
        <f t="shared" si="18"/>
        <v>183.6356364264623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25">
      <c r="A59" s="4" t="s">
        <v>120</v>
      </c>
      <c r="C59" s="6">
        <f t="shared" ref="C59:J59" si="19">C53/((1+C16)*(1+C16+(C104-C16)*1/5)*(1+C16+(C104-C16)*2/5))</f>
        <v>8838.758236190075</v>
      </c>
      <c r="D59" s="6">
        <f t="shared" si="19"/>
        <v>187.70993926775822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25">
      <c r="A60" s="4" t="s">
        <v>121</v>
      </c>
      <c r="C60" s="6">
        <f t="shared" ref="C60:J60" si="20">C54/((1+C16)*(1+C16+(C104-C16)*1/5)*(1+C16+(C104-C16)*2/5)*(1+C16+(C104-C16)*3/5))</f>
        <v>8961.234994913546</v>
      </c>
      <c r="D60" s="6">
        <f t="shared" si="20"/>
        <v>191.04044105113906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25">
      <c r="A61" s="4" t="s">
        <v>122</v>
      </c>
      <c r="C61" s="6">
        <f t="shared" ref="C61:J61" si="21">C55/((1+C16)*(1+C16+(C104-C16)*1/5)*(1+C16+(C104-C16)*2/5)*(1+C16+(C104-C16)*3/5)*(1+C16+(C104-C16)*4/5))</f>
        <v>9094.3347900871104</v>
      </c>
      <c r="D61" s="6">
        <f t="shared" si="21"/>
        <v>193.73047013133532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25">
      <c r="A62" s="3" t="s">
        <v>123</v>
      </c>
    </row>
    <row r="63" spans="1:10" x14ac:dyDescent="0.25">
      <c r="A63" s="4" t="s">
        <v>124</v>
      </c>
      <c r="C63" s="6">
        <f t="shared" ref="C63:J63" si="22">C25*(1+(C6+(C13-C6)*1/5))</f>
        <v>50222.640532499223</v>
      </c>
      <c r="D63" s="6">
        <f t="shared" si="22"/>
        <v>4454.8711066702926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25">
      <c r="A64" s="4" t="s">
        <v>125</v>
      </c>
      <c r="C64" s="6">
        <f t="shared" ref="C64:J64" si="23">C63*(1+(C6+(C13-C6)*2/5))</f>
        <v>52987.817754645672</v>
      </c>
      <c r="D64" s="6">
        <f t="shared" si="23"/>
        <v>4536.0990863542911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25">
      <c r="A65" s="4" t="s">
        <v>126</v>
      </c>
      <c r="C65" s="6">
        <f t="shared" ref="C65:J65" si="24">C64*(1+(C6+(C13-C6)*3/5))</f>
        <v>55376.909689058273</v>
      </c>
      <c r="D65" s="6">
        <f t="shared" si="24"/>
        <v>4614.1396304011323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25">
      <c r="A66" s="4" t="s">
        <v>127</v>
      </c>
      <c r="C66" s="6">
        <f t="shared" ref="C66:J66" si="25">C65*(1+(C6+(C13-C6)*4/5))</f>
        <v>57321.56732535523</v>
      </c>
      <c r="D66" s="6">
        <f t="shared" si="25"/>
        <v>4688.7739835531738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25">
      <c r="A67" s="4" t="s">
        <v>128</v>
      </c>
      <c r="C67" s="6">
        <f t="shared" ref="C67:J67" si="26">C66*(1+(C6+(C13-C6)*5/5))</f>
        <v>58762.97257727215</v>
      </c>
      <c r="D67" s="6">
        <f t="shared" si="26"/>
        <v>4759.7899187268131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25">
      <c r="A69" s="4" t="s">
        <v>129</v>
      </c>
      <c r="C69" s="11">
        <f t="shared" ref="C69:J69" si="27">IF(ISBLANK(C9),C7,C9)</f>
        <v>0.40058379902528191</v>
      </c>
      <c r="D69" s="11">
        <f t="shared" si="27"/>
        <v>9.3583799025281938E-2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25">
      <c r="A70" s="4" t="s">
        <v>130</v>
      </c>
      <c r="C70" s="11">
        <f t="shared" ref="C70:J70" si="28">IF(ISBLANK(C9),C7,C9)</f>
        <v>0.40058379902528191</v>
      </c>
      <c r="D70" s="11">
        <f t="shared" si="28"/>
        <v>9.3583799025281938E-2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25">
      <c r="A71" s="4" t="s">
        <v>131</v>
      </c>
      <c r="C71" s="11">
        <f t="shared" ref="C71:J71" si="29">IF(ISBLANK(C9),C7,C9)</f>
        <v>0.40058379902528191</v>
      </c>
      <c r="D71" s="11">
        <f t="shared" si="29"/>
        <v>9.3583799025281938E-2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25">
      <c r="A72" s="4" t="s">
        <v>132</v>
      </c>
      <c r="C72" s="11">
        <f t="shared" ref="C72:J72" si="30">IF(ISBLANK(C9),C7,C9)</f>
        <v>0.40058379902528191</v>
      </c>
      <c r="D72" s="11">
        <f t="shared" si="30"/>
        <v>9.3583799025281938E-2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25">
      <c r="A73" s="4" t="s">
        <v>133</v>
      </c>
      <c r="C73" s="11">
        <f t="shared" ref="C73:J73" si="31">IF(ISBLANK(C9),C7,C9)</f>
        <v>0.40058379902528191</v>
      </c>
      <c r="D73" s="11">
        <f t="shared" si="31"/>
        <v>9.3583799025281938E-2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25">
      <c r="A75" s="4" t="s">
        <v>134</v>
      </c>
      <c r="C75" s="6">
        <f t="shared" ref="C75:J79" si="32">C63*C69</f>
        <v>20118.376141589644</v>
      </c>
      <c r="D75" s="6">
        <f t="shared" si="32"/>
        <v>416.90376233016798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25">
      <c r="A76" s="4" t="s">
        <v>135</v>
      </c>
      <c r="C76" s="6">
        <f t="shared" si="32"/>
        <v>21226.061338215248</v>
      </c>
      <c r="D76" s="6">
        <f t="shared" si="32"/>
        <v>424.50538525614502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25">
      <c r="A77" s="4" t="s">
        <v>136</v>
      </c>
      <c r="C77" s="6">
        <f t="shared" si="32"/>
        <v>22183.092861522906</v>
      </c>
      <c r="D77" s="6">
        <f t="shared" si="32"/>
        <v>431.80871584604824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25">
      <c r="A78" s="4" t="s">
        <v>137</v>
      </c>
      <c r="C78" s="6">
        <f t="shared" si="32"/>
        <v>22962.091205274264</v>
      </c>
      <c r="D78" s="6">
        <f t="shared" si="32"/>
        <v>438.79328215181084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25">
      <c r="A79" s="4" t="s">
        <v>138</v>
      </c>
      <c r="C79" s="6">
        <f t="shared" si="32"/>
        <v>23539.49479702214</v>
      </c>
      <c r="D79" s="6">
        <f t="shared" si="32"/>
        <v>445.43922315669312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25">
      <c r="A81" s="4" t="s">
        <v>139</v>
      </c>
      <c r="C81" s="6">
        <f>C75*(1-Inputs!B22)</f>
        <v>14344.402188953418</v>
      </c>
      <c r="D81" s="6">
        <f>D75*(1-Inputs!B22)</f>
        <v>297.25238254140982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25">
      <c r="A82" s="4" t="s">
        <v>140</v>
      </c>
      <c r="C82" s="6">
        <f>C76*(1-Inputs!B22)</f>
        <v>15134.181734147473</v>
      </c>
      <c r="D82" s="6">
        <f>D76*(1-Inputs!B22)</f>
        <v>302.67233968763145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25">
      <c r="A83" s="4" t="s">
        <v>141</v>
      </c>
      <c r="C83" s="6">
        <f>C77*(1-Inputs!B22)</f>
        <v>15816.545210265833</v>
      </c>
      <c r="D83" s="6">
        <f>D77*(1-Inputs!B22)</f>
        <v>307.87961439823243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25">
      <c r="A84" s="4" t="s">
        <v>142</v>
      </c>
      <c r="C84" s="6">
        <f>C78*(1-Inputs!B22)</f>
        <v>16371.971029360553</v>
      </c>
      <c r="D84" s="6">
        <f>D78*(1-Inputs!B22)</f>
        <v>312.85961017424114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25">
      <c r="A85" s="4" t="s">
        <v>143</v>
      </c>
      <c r="C85" s="6">
        <f>C79*(1-Inputs!B22)</f>
        <v>16783.659790276786</v>
      </c>
      <c r="D85" s="6">
        <f>D79*(1-Inputs!B22)</f>
        <v>317.59816611072222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25">
      <c r="A87" s="4" t="s">
        <v>144</v>
      </c>
      <c r="C87" s="6">
        <f t="shared" ref="C87:J87" si="33">C63*MAX(IF(ISBLANK(C26),C12,C26),0)</f>
        <v>200.89056212999691</v>
      </c>
      <c r="D87" s="6">
        <f t="shared" si="33"/>
        <v>8.9097422133405857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25">
      <c r="A88" s="4" t="s">
        <v>145</v>
      </c>
      <c r="C88" s="6">
        <f t="shared" ref="C88:J88" si="34">C64*MAX(IF(ISBLANK(C26),C12,C26),0)</f>
        <v>211.9512710185827</v>
      </c>
      <c r="D88" s="6">
        <f t="shared" si="34"/>
        <v>9.0721981727085819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25">
      <c r="A89" s="4" t="s">
        <v>146</v>
      </c>
      <c r="C89" s="6">
        <f t="shared" ref="C89:J89" si="35">C65*MAX(IF(ISBLANK(C26),C12,C26),0)</f>
        <v>221.50763875623309</v>
      </c>
      <c r="D89" s="6">
        <f t="shared" si="35"/>
        <v>9.2282792608022657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25">
      <c r="A90" s="4" t="s">
        <v>147</v>
      </c>
      <c r="C90" s="6">
        <f t="shared" ref="C90:J90" si="36">C66*MAX(IF(ISBLANK(C26),C12,C26),0)</f>
        <v>229.28626930142093</v>
      </c>
      <c r="D90" s="6">
        <f t="shared" si="36"/>
        <v>9.3775479671063486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25">
      <c r="A91" s="4" t="s">
        <v>148</v>
      </c>
      <c r="C91" s="6">
        <f t="shared" ref="C91:J91" si="37">C67*MAX(IF(ISBLANK(C26),C12,C26),0)</f>
        <v>235.05189030908861</v>
      </c>
      <c r="D91" s="6">
        <f t="shared" si="37"/>
        <v>9.5195798374536267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25">
      <c r="A93" s="4" t="s">
        <v>149</v>
      </c>
      <c r="C93" s="6">
        <f t="shared" ref="C93:J97" si="38">C81-C87</f>
        <v>14143.511626823421</v>
      </c>
      <c r="D93" s="6">
        <f t="shared" si="38"/>
        <v>288.34264032806925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25">
      <c r="A94" s="4" t="s">
        <v>150</v>
      </c>
      <c r="C94" s="6">
        <f t="shared" si="38"/>
        <v>14922.23046312889</v>
      </c>
      <c r="D94" s="6">
        <f t="shared" si="38"/>
        <v>293.60014151492288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25">
      <c r="A95" s="4" t="s">
        <v>151</v>
      </c>
      <c r="C95" s="6">
        <f t="shared" si="38"/>
        <v>15595.0375715096</v>
      </c>
      <c r="D95" s="6">
        <f t="shared" si="38"/>
        <v>298.65133513743018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25">
      <c r="A96" s="4" t="s">
        <v>152</v>
      </c>
      <c r="C96" s="6">
        <f t="shared" si="38"/>
        <v>16142.684760059132</v>
      </c>
      <c r="D96" s="6">
        <f t="shared" si="38"/>
        <v>303.48206220713479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25">
      <c r="A97" s="4" t="s">
        <v>153</v>
      </c>
      <c r="C97" s="6">
        <f t="shared" si="38"/>
        <v>16548.607899967697</v>
      </c>
      <c r="D97" s="6">
        <f t="shared" si="38"/>
        <v>308.07858627326857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25">
      <c r="A99" s="4" t="s">
        <v>154</v>
      </c>
      <c r="C99" s="6">
        <f t="shared" ref="C99:J99" si="39">C93/(((1+C16)*(1+C16+(C104-C16)*1/5)*(1+C16+(C104-C16)*2/5)*(1+C16+(C104-C16)*3/5)*(1+C16+(C104-C16)*4/5))*(1+C104)^1)</f>
        <v>9012.634702044681</v>
      </c>
      <c r="D99" s="6">
        <f t="shared" si="39"/>
        <v>183.7398628337402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25">
      <c r="A100" s="4" t="s">
        <v>155</v>
      </c>
      <c r="C100" s="6">
        <f t="shared" ref="C100:J100" si="40">C94/(((1+C16)*(1+C16+(C104-C16)*1/5)*(1+C16+(C104-C16)*2/5)*(1+C16+(C104-C16)*3/5)*(1+C16+(C104-C16)*4/5))*(1+C104)^2)</f>
        <v>8848.0502388951718</v>
      </c>
      <c r="D100" s="6">
        <f t="shared" si="40"/>
        <v>174.08850564864323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25">
      <c r="A101" s="4" t="s">
        <v>156</v>
      </c>
      <c r="C101" s="6">
        <f t="shared" ref="C101:J101" si="41">C95/(((1+C16)*(1+C16+(C104-C16)*1/5)*(1+C16+(C104-C16)*2/5)*(1+C16+(C104-C16)*3/5)*(1+C16+(C104-C16)*4/5))*(1+C104)^3)</f>
        <v>8604.3799996455491</v>
      </c>
      <c r="D101" s="6">
        <f t="shared" si="41"/>
        <v>164.77738916246781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25">
      <c r="A102" s="4" t="s">
        <v>157</v>
      </c>
      <c r="C102" s="6">
        <f t="shared" ref="C102:J102" si="42">C96/(((1+C16)*(1+C16+(C104-C16)*1/5)*(1+C16+(C104-C16)*2/5)*(1+C16+(C104-C16)*3/5)*(1+C16+(C104-C16)*4/5))*(1+C104)^4)</f>
        <v>8287.5897082642277</v>
      </c>
      <c r="D102" s="6">
        <f t="shared" si="42"/>
        <v>155.80647536484761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25">
      <c r="A103" s="4" t="s">
        <v>158</v>
      </c>
      <c r="C103" s="6">
        <f t="shared" ref="C103:J103" si="43">C97/(((1+C16)*(1+C16+(C104-C16)*1/5)*(1+C16+(C104-C16)*2/5)*(1+C16+(C104-C16)*3/5)*(1+C16+(C104-C16)*4/5))*(1+C104)^5)</f>
        <v>7905.5713474443173</v>
      </c>
      <c r="D103" s="6">
        <f t="shared" si="43"/>
        <v>147.17475083858011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25">
      <c r="A104" s="4" t="s">
        <v>159</v>
      </c>
      <c r="C104" s="11">
        <f>MAX((Inputs!B18+((1+(1-Inputs!B22)*(Inputs!B36/(1-Inputs!B36)))/(1+(1-Inputs!B22)*0.25))*Inputs!B19+IF(ISBLANK(C17),Inputs!B24,C17)+Inputs!B25+Inputs!B39)*(1-Inputs!B36)+Inputs!B38*Inputs!B36,C15)</f>
        <v>7.4683745080080466E-2</v>
      </c>
      <c r="D104" s="11">
        <f>MAX((Inputs!B18+((1+(1-Inputs!B22)*(Inputs!B36/(1-Inputs!B36)))/(1+(1-Inputs!B22)*0.25))*Inputs!B19+IF(ISBLANK(D17),Inputs!B24,D17)+Inputs!B25+Inputs!B39)*(1-Inputs!B36)+Inputs!B38*Inputs!B36,D15)</f>
        <v>7.4683745080080466E-2</v>
      </c>
      <c r="E104" s="11">
        <f>MAX((Inputs!B18+((1+(1-Inputs!B22)*(Inputs!B36/(1-Inputs!B36)))/(1+(1-Inputs!B22)*0.25))*Inputs!B19+IF(ISBLANK(E17),Inputs!B24,E17)+Inputs!B25+Inputs!B39)*(1-Inputs!B36)+Inputs!B38*Inputs!B36,E15)</f>
        <v>7.4683745080080466E-2</v>
      </c>
      <c r="F104" s="11">
        <f>MAX((Inputs!B18+((1+(1-Inputs!B22)*(Inputs!B36/(1-Inputs!B36)))/(1+(1-Inputs!B22)*0.25))*Inputs!B19+IF(ISBLANK(F17),Inputs!B24,F17)+Inputs!B25+Inputs!B39)*(1-Inputs!B36)+Inputs!B38*Inputs!B36,F15)</f>
        <v>7.4683745080080466E-2</v>
      </c>
      <c r="G104" s="11">
        <f>MAX((Inputs!B18+((1+(1-Inputs!B22)*(Inputs!B36/(1-Inputs!B36)))/(1+(1-Inputs!B22)*0.25))*Inputs!B19+IF(ISBLANK(G17),Inputs!B24,G17)+Inputs!B25+Inputs!B39)*(1-Inputs!B36)+Inputs!B38*Inputs!B36,G15)</f>
        <v>7.4683745080080466E-2</v>
      </c>
      <c r="H104" s="11">
        <f>MAX((Inputs!B18+((1+(1-Inputs!B22)*(Inputs!B36/(1-Inputs!B36)))/(1+(1-Inputs!B22)*0.25))*Inputs!B19+IF(ISBLANK(H17),Inputs!B24,H17)+Inputs!B25+Inputs!B39)*(1-Inputs!B36)+Inputs!B38*Inputs!B36,H15)</f>
        <v>7.4683745080080466E-2</v>
      </c>
      <c r="I104" s="11">
        <f>MAX((Inputs!B18+((1+(1-Inputs!B22)*(Inputs!B36/(1-Inputs!B36)))/(1+(1-Inputs!B22)*0.25))*Inputs!B19+IF(ISBLANK(I17),Inputs!B24,I17)+Inputs!B25+Inputs!B39)*(1-Inputs!B36)+Inputs!B38*Inputs!B36,I15)</f>
        <v>7.4683745080080466E-2</v>
      </c>
      <c r="J104" s="11">
        <f>MAX((Inputs!B18+((1+(1-Inputs!B22)*(Inputs!B36/(1-Inputs!B36)))/(1+(1-Inputs!B22)*0.25))*Inputs!B19+IF(ISBLANK(J17),Inputs!B24,J17)+Inputs!B25+Inputs!B39)*(1-Inputs!B36)+Inputs!B38*Inputs!B36,J15)</f>
        <v>7.4683745080080466E-2</v>
      </c>
    </row>
    <row r="105" spans="1:11" x14ac:dyDescent="0.25">
      <c r="A105" s="4" t="s">
        <v>160</v>
      </c>
      <c r="C105" s="6">
        <f t="shared" ref="C105:J105" si="44">SUM(C57:C61,C99:C103)</f>
        <v>86902.827763814043</v>
      </c>
      <c r="D105" s="6">
        <f t="shared" si="44"/>
        <v>1760.4037100690014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25">
      <c r="A106" s="4" t="s">
        <v>161</v>
      </c>
      <c r="C106" s="6">
        <f t="shared" ref="C106:J106" si="45">IF(C5=0,0,C97*(1+C13)/(C104-C13))</f>
        <v>342460.50418437726</v>
      </c>
      <c r="D106" s="6">
        <f t="shared" si="45"/>
        <v>5252.8772246484823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25">
      <c r="A107" s="4" t="s">
        <v>162</v>
      </c>
      <c r="C107" s="6">
        <f t="shared" ref="C107:J107" si="46">C106/(((1+C16)*(1+C16+(C104-C16)*1/5)*(1+C16+(C104-C16)*2/5)*(1+C16+(C104-C16)*3/5)*(1+C16+(C104-C16)*4/5))*(1+C104)^5)</f>
        <v>163599.61912667181</v>
      </c>
      <c r="D107" s="6">
        <f t="shared" si="46"/>
        <v>2509.3951062134311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25">
      <c r="A109" s="19" t="s">
        <v>163</v>
      </c>
      <c r="C109" s="20">
        <f t="shared" ref="C109:J109" si="47">C105+C107</f>
        <v>250502.44689048585</v>
      </c>
      <c r="D109" s="20">
        <f t="shared" si="47"/>
        <v>4269.7988162824322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254772.24570676827</v>
      </c>
    </row>
    <row r="110" spans="1:11" x14ac:dyDescent="0.25">
      <c r="A110" s="4" t="s">
        <v>164</v>
      </c>
      <c r="K110" s="11">
        <f>IFERROR(SUMPRODUCT(C109:J109,C16:J16)/SUM(C109:J109),0)</f>
        <v>8.1315154592684818E-2</v>
      </c>
    </row>
    <row r="111" spans="1:11" x14ac:dyDescent="0.25">
      <c r="A111" s="4" t="s">
        <v>165</v>
      </c>
      <c r="K111" s="5">
        <v>-3381</v>
      </c>
    </row>
    <row r="112" spans="1:11" x14ac:dyDescent="0.25">
      <c r="A112" s="4" t="s">
        <v>166</v>
      </c>
      <c r="K112" s="5">
        <v>500</v>
      </c>
    </row>
    <row r="113" spans="1:11" x14ac:dyDescent="0.25">
      <c r="A113" s="4" t="s">
        <v>167</v>
      </c>
      <c r="K113" s="5">
        <v>-43895.202687724217</v>
      </c>
    </row>
    <row r="114" spans="1:11" x14ac:dyDescent="0.25">
      <c r="A114" s="4" t="s">
        <v>168</v>
      </c>
      <c r="K114" s="5">
        <v>0</v>
      </c>
    </row>
    <row r="115" spans="1:11" x14ac:dyDescent="0.25">
      <c r="A115" s="4" t="s">
        <v>169</v>
      </c>
      <c r="K115" s="5">
        <v>0</v>
      </c>
    </row>
    <row r="116" spans="1:11" x14ac:dyDescent="0.25">
      <c r="A116" s="4" t="s">
        <v>170</v>
      </c>
      <c r="K116" s="5">
        <v>-52.5</v>
      </c>
    </row>
    <row r="117" spans="1:11" x14ac:dyDescent="0.25">
      <c r="A117" s="4" t="s">
        <v>171</v>
      </c>
      <c r="K117" s="5">
        <v>0</v>
      </c>
    </row>
    <row r="118" spans="1:11" x14ac:dyDescent="0.25">
      <c r="A118" s="4" t="s">
        <v>172</v>
      </c>
      <c r="K118" s="5">
        <v>0</v>
      </c>
    </row>
    <row r="119" spans="1:11" x14ac:dyDescent="0.25">
      <c r="A119" s="4" t="s">
        <v>173</v>
      </c>
      <c r="K119" s="20">
        <f>K109+K113+K114+K115+K116+K117+K118-K111-K112</f>
        <v>213705.54301904404</v>
      </c>
    </row>
    <row r="120" spans="1:11" x14ac:dyDescent="0.25">
      <c r="A120" s="4" t="s">
        <v>174</v>
      </c>
      <c r="K120" s="6">
        <f>Inputs!B11</f>
        <v>1166</v>
      </c>
    </row>
    <row r="122" spans="1:11" ht="15.75" customHeight="1" x14ac:dyDescent="0.25">
      <c r="A122" s="4" t="s">
        <v>175</v>
      </c>
      <c r="K122" s="21">
        <f>K119/K120</f>
        <v>183.28091168014069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/>
  </sheetViews>
  <sheetFormatPr baseColWidth="10" defaultColWidth="9.140625" defaultRowHeight="15" x14ac:dyDescent="0.25"/>
  <cols>
    <col min="1" max="1" width="28" customWidth="1"/>
    <col min="2" max="2" width="16" customWidth="1"/>
    <col min="3" max="3" width="14" customWidth="1"/>
    <col min="4" max="4" width="16" customWidth="1"/>
    <col min="5" max="5" width="50" customWidth="1"/>
  </cols>
  <sheetData>
    <row r="1" spans="1:5" ht="18.75" customHeight="1" x14ac:dyDescent="0.3">
      <c r="A1" s="1" t="s">
        <v>178</v>
      </c>
    </row>
    <row r="2" spans="1:5" x14ac:dyDescent="0.25">
      <c r="A2" s="2" t="s">
        <v>179</v>
      </c>
    </row>
    <row r="3" spans="1:5" x14ac:dyDescent="0.25">
      <c r="A3" s="2" t="s">
        <v>180</v>
      </c>
    </row>
    <row r="4" spans="1:5" x14ac:dyDescent="0.25">
      <c r="A4" s="22" t="s">
        <v>181</v>
      </c>
      <c r="B4" s="22" t="s">
        <v>182</v>
      </c>
      <c r="C4" s="22" t="s">
        <v>183</v>
      </c>
      <c r="D4" s="22" t="s">
        <v>184</v>
      </c>
      <c r="E4" s="22" t="s">
        <v>185</v>
      </c>
    </row>
    <row r="5" spans="1:5" ht="30" customHeight="1" x14ac:dyDescent="0.25">
      <c r="A5" s="23" t="s">
        <v>186</v>
      </c>
      <c r="B5" s="5">
        <v>-150</v>
      </c>
      <c r="C5" s="7">
        <v>0.3</v>
      </c>
      <c r="D5" s="6">
        <f>IF(ISNUMBER(B5),B5*C5,"")</f>
        <v>-45</v>
      </c>
      <c r="E5" s="24" t="s">
        <v>187</v>
      </c>
    </row>
    <row r="6" spans="1:5" ht="30" customHeight="1" x14ac:dyDescent="0.25">
      <c r="A6" s="23" t="s">
        <v>188</v>
      </c>
      <c r="B6" s="5">
        <v>-50</v>
      </c>
      <c r="C6" s="7">
        <v>0.15</v>
      </c>
      <c r="D6" s="6">
        <f>IF(ISNUMBER(B6),B6*C6,"")</f>
        <v>-7.5</v>
      </c>
      <c r="E6" s="24" t="s">
        <v>189</v>
      </c>
    </row>
    <row r="7" spans="1:5" ht="30" customHeight="1" x14ac:dyDescent="0.25">
      <c r="A7" s="23"/>
      <c r="B7" s="5"/>
      <c r="C7" s="7"/>
      <c r="D7" s="6" t="str">
        <f>IF(ISNUMBER(B7),B7*C7,"")</f>
        <v/>
      </c>
      <c r="E7" s="24"/>
    </row>
    <row r="8" spans="1:5" ht="30" customHeight="1" x14ac:dyDescent="0.25">
      <c r="A8" s="23"/>
      <c r="B8" s="5"/>
      <c r="C8" s="7"/>
      <c r="D8" s="6" t="str">
        <f>IF(ISNUMBER(B8),B8*C8,"")</f>
        <v/>
      </c>
      <c r="E8" s="24"/>
    </row>
    <row r="9" spans="1:5" ht="30" customHeight="1" x14ac:dyDescent="0.25">
      <c r="A9" s="23"/>
      <c r="B9" s="5"/>
      <c r="C9" s="7"/>
      <c r="D9" s="6" t="str">
        <f>IF(ISNUMBER(B9),B9*C9,"")</f>
        <v/>
      </c>
      <c r="E9" s="24"/>
    </row>
    <row r="11" spans="1:5" x14ac:dyDescent="0.25">
      <c r="C11" s="4" t="s">
        <v>190</v>
      </c>
      <c r="D11" s="20">
        <f>SUM(D5:D9)</f>
        <v>-52.5</v>
      </c>
    </row>
    <row r="12" spans="1:5" x14ac:dyDescent="0.25">
      <c r="C12" s="4" t="s">
        <v>191</v>
      </c>
      <c r="D12" s="20">
        <f>IF(Inputs!B11&gt;0,D11/Inputs!B11,"")</f>
        <v>-4.502572898799314E-2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2"/>
  <sheetViews>
    <sheetView workbookViewId="0"/>
  </sheetViews>
  <sheetFormatPr baseColWidth="10" defaultColWidth="9.140625" defaultRowHeight="15" x14ac:dyDescent="0.25"/>
  <cols>
    <col min="1" max="1" width="30" customWidth="1"/>
    <col min="2" max="10" width="10" customWidth="1"/>
    <col min="11" max="11" width="8" customWidth="1"/>
    <col min="12" max="12" width="10" customWidth="1"/>
  </cols>
  <sheetData>
    <row r="1" spans="1:12" ht="18.75" customHeight="1" x14ac:dyDescent="0.3">
      <c r="A1" s="1" t="s">
        <v>192</v>
      </c>
    </row>
    <row r="2" spans="1:12" x14ac:dyDescent="0.25">
      <c r="A2" s="2" t="s">
        <v>193</v>
      </c>
    </row>
    <row r="4" spans="1:12" x14ac:dyDescent="0.25">
      <c r="A4" s="3" t="s">
        <v>194</v>
      </c>
    </row>
    <row r="5" spans="1:12" ht="30" customHeight="1" x14ac:dyDescent="0.25">
      <c r="A5" s="25" t="s">
        <v>195</v>
      </c>
      <c r="B5" s="25" t="s">
        <v>196</v>
      </c>
      <c r="C5" s="25" t="s">
        <v>197</v>
      </c>
      <c r="D5" s="25" t="s">
        <v>198</v>
      </c>
      <c r="E5" s="25" t="s">
        <v>199</v>
      </c>
      <c r="F5" s="25" t="s">
        <v>200</v>
      </c>
      <c r="G5" s="25" t="s">
        <v>201</v>
      </c>
      <c r="H5" s="25" t="s">
        <v>202</v>
      </c>
      <c r="I5" s="25" t="s">
        <v>203</v>
      </c>
      <c r="J5" s="25" t="s">
        <v>204</v>
      </c>
      <c r="K5" s="25" t="s">
        <v>205</v>
      </c>
      <c r="L5" s="25" t="s">
        <v>206</v>
      </c>
    </row>
    <row r="6" spans="1:12" x14ac:dyDescent="0.25">
      <c r="A6" s="35" t="s">
        <v>55</v>
      </c>
      <c r="B6" s="36">
        <v>0.14499999999999999</v>
      </c>
      <c r="C6" s="36">
        <v>0.115</v>
      </c>
      <c r="D6" s="36">
        <v>7.5000000000000011E-2</v>
      </c>
      <c r="E6" s="36">
        <v>0.42541620097471811</v>
      </c>
      <c r="F6" s="36">
        <v>0.40600000000000003</v>
      </c>
      <c r="G6" s="36">
        <v>0.376</v>
      </c>
      <c r="H6" s="36">
        <v>3.4854050243679519E-2</v>
      </c>
      <c r="I6" s="36">
        <v>0.03</v>
      </c>
      <c r="J6" s="36">
        <v>2.5145949756320479E-2</v>
      </c>
      <c r="K6" s="37">
        <v>0.98</v>
      </c>
      <c r="L6" s="37">
        <v>2</v>
      </c>
    </row>
    <row r="7" spans="1:12" x14ac:dyDescent="0.25">
      <c r="A7" s="35" t="s">
        <v>56</v>
      </c>
      <c r="B7" s="36">
        <v>0.05</v>
      </c>
      <c r="C7" s="36">
        <v>0.03</v>
      </c>
      <c r="D7" s="36">
        <v>2.029189951264097E-2</v>
      </c>
      <c r="E7" s="36">
        <v>0.1194162009747181</v>
      </c>
      <c r="F7" s="36">
        <v>0.1</v>
      </c>
      <c r="G7" s="36">
        <v>7.0000000000000007E-2</v>
      </c>
      <c r="H7" s="36">
        <v>2.485405024367952E-2</v>
      </c>
      <c r="I7" s="36">
        <v>0.02</v>
      </c>
      <c r="J7" s="36">
        <v>1.5145949756320481E-2</v>
      </c>
      <c r="K7" s="37">
        <v>0.98</v>
      </c>
      <c r="L7" s="37">
        <v>2</v>
      </c>
    </row>
    <row r="8" spans="1:12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</row>
    <row r="9" spans="1:12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2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</row>
    <row r="12" spans="1:12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5" spans="1:12" x14ac:dyDescent="0.25">
      <c r="A15" s="3" t="s">
        <v>207</v>
      </c>
    </row>
    <row r="16" spans="1:12" x14ac:dyDescent="0.25">
      <c r="A16" s="22" t="s">
        <v>208</v>
      </c>
      <c r="B16" s="22" t="s">
        <v>209</v>
      </c>
      <c r="C16" s="22" t="s">
        <v>210</v>
      </c>
      <c r="D16" s="22" t="s">
        <v>211</v>
      </c>
      <c r="E16" s="22" t="s">
        <v>212</v>
      </c>
    </row>
    <row r="17" spans="1:5" x14ac:dyDescent="0.25">
      <c r="A17" s="4" t="s">
        <v>213</v>
      </c>
      <c r="B17" s="6">
        <f>'DCF Bull'!K122</f>
        <v>396.30168626245387</v>
      </c>
      <c r="C17" s="38">
        <v>0.2</v>
      </c>
      <c r="D17" s="27" t="s">
        <v>214</v>
      </c>
      <c r="E17" s="6">
        <f>MAX(B17,0)</f>
        <v>396.30168626245387</v>
      </c>
    </row>
    <row r="18" spans="1:5" x14ac:dyDescent="0.25">
      <c r="A18" s="4" t="s">
        <v>215</v>
      </c>
      <c r="B18" s="6">
        <f>'DCF Base'!K122</f>
        <v>279.35895052367852</v>
      </c>
      <c r="C18" s="38">
        <v>0.65</v>
      </c>
      <c r="D18" s="27" t="s">
        <v>216</v>
      </c>
      <c r="E18" s="6">
        <f>MAX(B18,0)</f>
        <v>279.35895052367852</v>
      </c>
    </row>
    <row r="19" spans="1:5" x14ac:dyDescent="0.25">
      <c r="A19" s="4" t="s">
        <v>217</v>
      </c>
      <c r="B19" s="6">
        <f>'DCF Bear'!K122</f>
        <v>183.28091168014069</v>
      </c>
      <c r="C19" s="38">
        <v>0.15</v>
      </c>
      <c r="D19" s="27" t="s">
        <v>218</v>
      </c>
      <c r="E19" s="6">
        <f>MAX(B19,0)</f>
        <v>183.28091168014069</v>
      </c>
    </row>
    <row r="20" spans="1:5" x14ac:dyDescent="0.25">
      <c r="A20" s="2" t="s">
        <v>219</v>
      </c>
    </row>
    <row r="21" spans="1:5" ht="15.75" customHeight="1" x14ac:dyDescent="0.25">
      <c r="A21" s="19" t="s">
        <v>220</v>
      </c>
      <c r="B21" s="21">
        <f>MAX(0,B17*C17+B18*C18+B19*C19)</f>
        <v>288.33579184490293</v>
      </c>
      <c r="D21" s="2" t="s">
        <v>221</v>
      </c>
      <c r="E21" s="6">
        <f>B17*C17+B18*C18+B19*C19</f>
        <v>288.33579184490293</v>
      </c>
    </row>
    <row r="22" spans="1:5" x14ac:dyDescent="0.25">
      <c r="A22" s="2" t="s">
        <v>222</v>
      </c>
      <c r="B22" s="39" t="s">
        <v>223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5"/>
  <sheetViews>
    <sheetView workbookViewId="0"/>
  </sheetViews>
  <sheetFormatPr baseColWidth="10" defaultColWidth="9.140625" defaultRowHeight="15" x14ac:dyDescent="0.25"/>
  <cols>
    <col min="1" max="1" width="34" customWidth="1"/>
    <col min="2" max="5" width="14" customWidth="1"/>
  </cols>
  <sheetData>
    <row r="1" spans="1:5" ht="17.25" customHeight="1" x14ac:dyDescent="0.3">
      <c r="A1" s="28" t="s">
        <v>224</v>
      </c>
    </row>
    <row r="2" spans="1:5" x14ac:dyDescent="0.25">
      <c r="A2" s="2" t="s">
        <v>225</v>
      </c>
    </row>
    <row r="4" spans="1:5" x14ac:dyDescent="0.25">
      <c r="A4" s="4" t="s">
        <v>226</v>
      </c>
      <c r="B4" s="40">
        <v>137.37</v>
      </c>
    </row>
    <row r="5" spans="1:5" x14ac:dyDescent="0.25">
      <c r="A5" s="4" t="s">
        <v>227</v>
      </c>
      <c r="B5" s="40">
        <v>288.33999999999997</v>
      </c>
    </row>
    <row r="6" spans="1:5" x14ac:dyDescent="0.25">
      <c r="A6" s="4" t="s">
        <v>228</v>
      </c>
      <c r="B6" s="29">
        <f>(B5-B4)/B4</f>
        <v>1.0990026934556305</v>
      </c>
    </row>
    <row r="7" spans="1:5" x14ac:dyDescent="0.25">
      <c r="A7" s="4" t="s">
        <v>229</v>
      </c>
      <c r="B7" s="41" t="s">
        <v>230</v>
      </c>
    </row>
    <row r="9" spans="1:5" x14ac:dyDescent="0.25">
      <c r="B9" s="31" t="s">
        <v>215</v>
      </c>
      <c r="C9" s="31" t="s">
        <v>231</v>
      </c>
      <c r="D9" s="31" t="s">
        <v>232</v>
      </c>
      <c r="E9" s="31" t="s">
        <v>233</v>
      </c>
    </row>
    <row r="10" spans="1:5" x14ac:dyDescent="0.25">
      <c r="A10" t="s">
        <v>234</v>
      </c>
      <c r="B10" s="42">
        <v>36800</v>
      </c>
      <c r="C10" s="6">
        <f>B10</f>
        <v>36800</v>
      </c>
      <c r="D10" s="6">
        <f>B10</f>
        <v>36800</v>
      </c>
      <c r="E10" s="6">
        <f t="shared" ref="E10:E15" si="0">B10</f>
        <v>36800</v>
      </c>
    </row>
    <row r="11" spans="1:5" x14ac:dyDescent="0.25">
      <c r="A11" t="s">
        <v>235</v>
      </c>
      <c r="B11" s="43">
        <v>0.1058694293478261</v>
      </c>
      <c r="C11" s="44">
        <v>-4.0527343749999993E-2</v>
      </c>
      <c r="D11" s="11">
        <f>B11</f>
        <v>0.1058694293478261</v>
      </c>
      <c r="E11" s="11">
        <f t="shared" si="0"/>
        <v>0.1058694293478261</v>
      </c>
    </row>
    <row r="12" spans="1:5" x14ac:dyDescent="0.25">
      <c r="A12" t="s">
        <v>236</v>
      </c>
      <c r="B12" s="43">
        <v>0.37312994565217389</v>
      </c>
      <c r="C12" s="11">
        <f t="shared" ref="C12:C20" si="1">B12</f>
        <v>0.37312994565217389</v>
      </c>
      <c r="D12" s="11">
        <f>B12</f>
        <v>0.37312994565217389</v>
      </c>
      <c r="E12" s="11">
        <f t="shared" si="0"/>
        <v>0.37312994565217389</v>
      </c>
    </row>
    <row r="13" spans="1:5" x14ac:dyDescent="0.25">
      <c r="A13" t="s">
        <v>237</v>
      </c>
      <c r="B13" s="43">
        <v>0.38702252717391311</v>
      </c>
      <c r="C13" s="11">
        <f t="shared" si="1"/>
        <v>0.38702252717391311</v>
      </c>
      <c r="D13" s="44">
        <v>0.1474288940429688</v>
      </c>
      <c r="E13" s="11">
        <f t="shared" si="0"/>
        <v>0.38702252717391311</v>
      </c>
    </row>
    <row r="14" spans="1:5" x14ac:dyDescent="0.25">
      <c r="A14" t="s">
        <v>238</v>
      </c>
      <c r="B14" s="43">
        <v>3.7851630434782612E-3</v>
      </c>
      <c r="C14" s="11">
        <f t="shared" si="1"/>
        <v>3.7851630434782612E-3</v>
      </c>
      <c r="D14" s="11">
        <f t="shared" ref="D14:D20" si="2">B14</f>
        <v>3.7851630434782612E-3</v>
      </c>
      <c r="E14" s="11">
        <f t="shared" si="0"/>
        <v>3.7851630434782612E-3</v>
      </c>
    </row>
    <row r="15" spans="1:5" x14ac:dyDescent="0.25">
      <c r="A15" t="s">
        <v>73</v>
      </c>
      <c r="B15" s="43">
        <v>2.89258152173913E-2</v>
      </c>
      <c r="C15" s="11">
        <f t="shared" si="1"/>
        <v>2.89258152173913E-2</v>
      </c>
      <c r="D15" s="11">
        <f t="shared" si="2"/>
        <v>2.89258152173913E-2</v>
      </c>
      <c r="E15" s="11">
        <f t="shared" si="0"/>
        <v>2.89258152173913E-2</v>
      </c>
    </row>
    <row r="16" spans="1:5" x14ac:dyDescent="0.25">
      <c r="A16" t="s">
        <v>239</v>
      </c>
      <c r="B16" s="43">
        <v>8.1315154592684818E-2</v>
      </c>
      <c r="C16" s="11">
        <f t="shared" si="1"/>
        <v>8.1315154592684818E-2</v>
      </c>
      <c r="D16" s="11">
        <f t="shared" si="2"/>
        <v>8.1315154592684818E-2</v>
      </c>
      <c r="E16" s="44">
        <v>0.14489501953124989</v>
      </c>
    </row>
    <row r="17" spans="1:5" x14ac:dyDescent="0.25">
      <c r="A17" t="s">
        <v>240</v>
      </c>
      <c r="B17" s="43">
        <v>0.28699999999999998</v>
      </c>
      <c r="C17" s="11">
        <f t="shared" si="1"/>
        <v>0.28699999999999998</v>
      </c>
      <c r="D17" s="11">
        <f t="shared" si="2"/>
        <v>0.28699999999999998</v>
      </c>
      <c r="E17" s="11">
        <f>B17</f>
        <v>0.28699999999999998</v>
      </c>
    </row>
    <row r="18" spans="1:5" x14ac:dyDescent="0.25">
      <c r="A18" t="s">
        <v>241</v>
      </c>
      <c r="B18" s="42">
        <v>61122.6</v>
      </c>
      <c r="C18" s="6">
        <f t="shared" si="1"/>
        <v>61122.6</v>
      </c>
      <c r="D18" s="6">
        <f t="shared" si="2"/>
        <v>61122.6</v>
      </c>
      <c r="E18" s="6">
        <f>B18</f>
        <v>61122.6</v>
      </c>
    </row>
    <row r="19" spans="1:5" x14ac:dyDescent="0.25">
      <c r="A19" t="s">
        <v>242</v>
      </c>
      <c r="B19" s="42">
        <v>-30594.799999999999</v>
      </c>
      <c r="C19" s="6">
        <f t="shared" si="1"/>
        <v>-30594.799999999999</v>
      </c>
      <c r="D19" s="6">
        <f t="shared" si="2"/>
        <v>-30594.799999999999</v>
      </c>
      <c r="E19" s="6">
        <f>B19</f>
        <v>-30594.799999999999</v>
      </c>
    </row>
    <row r="20" spans="1:5" x14ac:dyDescent="0.25">
      <c r="A20" t="s">
        <v>243</v>
      </c>
      <c r="B20" s="40">
        <v>1166</v>
      </c>
      <c r="C20" s="6">
        <f t="shared" si="1"/>
        <v>1166</v>
      </c>
      <c r="D20" s="6">
        <f t="shared" si="2"/>
        <v>1166</v>
      </c>
      <c r="E20" s="6">
        <f>B20</f>
        <v>1166</v>
      </c>
    </row>
    <row r="22" spans="1:5" x14ac:dyDescent="0.25">
      <c r="A22" t="s">
        <v>244</v>
      </c>
      <c r="B22" s="6">
        <f>B10*(1+B11)^1</f>
        <v>40695.995000000003</v>
      </c>
      <c r="C22" s="6">
        <f>C10*(1+C11)^1</f>
        <v>35308.59375</v>
      </c>
      <c r="D22" s="6">
        <f>D10*(1+D11)^1</f>
        <v>40695.995000000003</v>
      </c>
      <c r="E22" s="6">
        <f>E10*(1+E11)^1</f>
        <v>40695.995000000003</v>
      </c>
    </row>
    <row r="23" spans="1:5" x14ac:dyDescent="0.25">
      <c r="A23" t="s">
        <v>245</v>
      </c>
      <c r="B23" s="6">
        <f>B10*(1+B11)^2</f>
        <v>45004.456767391988</v>
      </c>
      <c r="C23" s="6">
        <f>C10*(1+C11)^2</f>
        <v>33877.630233764648</v>
      </c>
      <c r="D23" s="6">
        <f>D10*(1+D11)^2</f>
        <v>45004.456767391988</v>
      </c>
      <c r="E23" s="6">
        <f>E10*(1+E11)^2</f>
        <v>45004.456767391988</v>
      </c>
    </row>
    <row r="24" spans="1:5" x14ac:dyDescent="0.25">
      <c r="A24" t="s">
        <v>246</v>
      </c>
      <c r="B24" s="6">
        <f>B10*(1+B11)^3</f>
        <v>49769.052923464697</v>
      </c>
      <c r="C24" s="6">
        <f>C10*(1+C11)^3</f>
        <v>32504.659867845476</v>
      </c>
      <c r="D24" s="6">
        <f>D10*(1+D11)^3</f>
        <v>49769.052923464697</v>
      </c>
      <c r="E24" s="6">
        <f>E10*(1+E11)^3</f>
        <v>49769.052923464697</v>
      </c>
    </row>
    <row r="25" spans="1:5" x14ac:dyDescent="0.25">
      <c r="A25" t="s">
        <v>247</v>
      </c>
      <c r="B25" s="6">
        <f>B10*(1+B11)^4</f>
        <v>55038.074155653652</v>
      </c>
      <c r="C25" s="6">
        <f>C10*(1+C11)^4</f>
        <v>31187.332343904473</v>
      </c>
      <c r="D25" s="6">
        <f>D10*(1+D11)^4</f>
        <v>55038.074155653652</v>
      </c>
      <c r="E25" s="6">
        <f>E10*(1+E11)^4</f>
        <v>55038.074155653652</v>
      </c>
    </row>
    <row r="26" spans="1:5" x14ac:dyDescent="0.25">
      <c r="A26" t="s">
        <v>248</v>
      </c>
      <c r="B26" s="6">
        <f>B10*(1+B11)^5</f>
        <v>60864.923658916043</v>
      </c>
      <c r="C26" s="6">
        <f>C10*(1+C11)^5</f>
        <v>29923.392605357563</v>
      </c>
      <c r="D26" s="6">
        <f>D10*(1+D11)^5</f>
        <v>60864.923658916043</v>
      </c>
      <c r="E26" s="6">
        <f>E10*(1+E11)^5</f>
        <v>60864.923658916043</v>
      </c>
    </row>
    <row r="27" spans="1:5" x14ac:dyDescent="0.25">
      <c r="A27" t="s">
        <v>249</v>
      </c>
      <c r="B27" s="6">
        <f>B26*(1+(B11+(B15-B11)*1/5))</f>
        <v>66372.024953966495</v>
      </c>
      <c r="C27" s="6">
        <f>C26*(1+(C11+(C15-C11)*1/5))</f>
        <v>29126.331815766742</v>
      </c>
      <c r="D27" s="6">
        <f>D26*(1+(D11+(D15-D11)*1/5))</f>
        <v>66372.024953966495</v>
      </c>
      <c r="E27" s="6">
        <f>E26*(1+(E11+(E15-E11)*1/5))</f>
        <v>66372.024953966495</v>
      </c>
    </row>
    <row r="28" spans="1:5" x14ac:dyDescent="0.25">
      <c r="A28" t="s">
        <v>250</v>
      </c>
      <c r="B28" s="6">
        <f>B27*(1+(B11+(B15-B11)*2/5))</f>
        <v>71356.031969657153</v>
      </c>
      <c r="C28" s="6">
        <f>C27*(1+(C11+(C15-C11)*2/5))</f>
        <v>28755.085255587575</v>
      </c>
      <c r="D28" s="6">
        <f>D27*(1+(D11+(D15-D11)*2/5))</f>
        <v>71356.031969657153</v>
      </c>
      <c r="E28" s="6">
        <f>E27*(1+(E11+(E15-E11)*2/5))</f>
        <v>71356.031969657153</v>
      </c>
    </row>
    <row r="29" spans="1:5" x14ac:dyDescent="0.25">
      <c r="A29" t="s">
        <v>251</v>
      </c>
      <c r="B29" s="6">
        <f>B28*(1+(B11+(B15-B11)*3/5))</f>
        <v>75616.219760958629</v>
      </c>
      <c r="C29" s="6">
        <f>C28*(1+(C11+(C15-C11)*3/5))</f>
        <v>28787.996935300147</v>
      </c>
      <c r="D29" s="6">
        <f>D28*(1+(D11+(D15-D11)*3/5))</f>
        <v>75616.219760958629</v>
      </c>
      <c r="E29" s="6">
        <f>E28*(1+(E11+(E15-E11)*3/5))</f>
        <v>75616.219760958629</v>
      </c>
    </row>
    <row r="30" spans="1:5" x14ac:dyDescent="0.25">
      <c r="A30" t="s">
        <v>252</v>
      </c>
      <c r="B30" s="6">
        <f>B29*(1+(B11+(B15-B11)*4/5))</f>
        <v>78967.117608259636</v>
      </c>
      <c r="C30" s="6">
        <f>C29*(1+(C11+(C15-C11)*4/5))</f>
        <v>29220.829749629433</v>
      </c>
      <c r="D30" s="6">
        <f>D29*(1+(D11+(D15-D11)*4/5))</f>
        <v>78967.117608259636</v>
      </c>
      <c r="E30" s="6">
        <f>E29*(1+(E11+(E15-E11)*4/5))</f>
        <v>78967.117608259636</v>
      </c>
    </row>
    <row r="31" spans="1:5" x14ac:dyDescent="0.25">
      <c r="A31" t="s">
        <v>253</v>
      </c>
      <c r="B31" s="6">
        <f>B30*(1+(B11+(B15-B11)*5/5))</f>
        <v>81251.305860446155</v>
      </c>
      <c r="C31" s="6">
        <f>C30*(1+(C11+(C15-C11)*5/5))</f>
        <v>30066.066071466063</v>
      </c>
      <c r="D31" s="6">
        <f>D30*(1+(D11+(D15-D11)*5/5))</f>
        <v>81251.305860446155</v>
      </c>
      <c r="E31" s="6">
        <f>E30*(1+(E11+(E15-E11)*5/5))</f>
        <v>81251.305860446155</v>
      </c>
    </row>
    <row r="33" spans="1:5" x14ac:dyDescent="0.25">
      <c r="A33" t="s">
        <v>254</v>
      </c>
      <c r="B33" s="6">
        <f>B22*(B12+(B13-B12)*0/4)*(1-B17)-B22*B14</f>
        <v>10672.788732770168</v>
      </c>
      <c r="C33" s="6">
        <f>C22*(C12+(C13-C12)*0/4)*(1-C17)-C22*C14</f>
        <v>9259.907800385743</v>
      </c>
      <c r="D33" s="6">
        <f>D22*(D12+(D13-D12)*0/4)*(1-D17)-D22*D14</f>
        <v>10672.788732770168</v>
      </c>
      <c r="E33" s="6">
        <f>E22*(E12+(E13-E12)*0/4)*(1-E17)-E22*E14</f>
        <v>10672.788732770168</v>
      </c>
    </row>
    <row r="34" spans="1:5" x14ac:dyDescent="0.25">
      <c r="A34" t="s">
        <v>255</v>
      </c>
      <c r="B34" s="6">
        <f>B23*(B12+(B13-B12)*1/4)*(1-B17)-B23*B14</f>
        <v>11914.157691517476</v>
      </c>
      <c r="C34" s="6">
        <f>C23*(C12+(C13-C12)*1/4)*(1-C17)-C23*C14</f>
        <v>8968.5212934830415</v>
      </c>
      <c r="D34" s="6">
        <f>D23*(D12+(D13-D12)*1/4)*(1-D17)-D23*D14</f>
        <v>9992.1269240823349</v>
      </c>
      <c r="E34" s="6">
        <f>E23*(E12+(E13-E12)*1/4)*(1-E17)-E23*E14</f>
        <v>11914.157691517476</v>
      </c>
    </row>
    <row r="35" spans="1:5" x14ac:dyDescent="0.25">
      <c r="A35" t="s">
        <v>256</v>
      </c>
      <c r="B35" s="6">
        <f>B24*(B12+(B13-B12)*2/4)*(1-B17)-B24*B14</f>
        <v>13298.748493884514</v>
      </c>
      <c r="C35" s="6">
        <f>C24*(C12+(C13-C12)*2/4)*(1-C17)-C24*C14</f>
        <v>8685.5439488971024</v>
      </c>
      <c r="D35" s="6">
        <f>D24*(D12+(D13-D12)*2/4)*(1-D17)-D24*D14</f>
        <v>9047.718357939586</v>
      </c>
      <c r="E35" s="6">
        <f>E24*(E12+(E13-E12)*2/4)*(1-E17)-E24*E14</f>
        <v>13298.748493884514</v>
      </c>
    </row>
    <row r="36" spans="1:5" x14ac:dyDescent="0.25">
      <c r="A36" t="s">
        <v>257</v>
      </c>
      <c r="B36" s="6">
        <f>B25*(B12+(B13-B12)*3/4)*(1-B17)-B25*B14</f>
        <v>14842.973089102567</v>
      </c>
      <c r="C36" s="6">
        <f>C25*(C12+(C13-C12)*3/4)*(1-C17)-C25*C14</f>
        <v>8410.7727569155977</v>
      </c>
      <c r="D36" s="6">
        <f>D25*(D12+(D13-D12)*3/4)*(1-D17)-D25*D14</f>
        <v>7791.3466832358226</v>
      </c>
      <c r="E36" s="6">
        <f>E25*(E12+(E13-E12)*3/4)*(1-E17)-E25*E14</f>
        <v>14842.973089102567</v>
      </c>
    </row>
    <row r="37" spans="1:5" x14ac:dyDescent="0.25">
      <c r="A37" t="s">
        <v>258</v>
      </c>
      <c r="B37" s="6">
        <f>B26*(B12+(B13-B12)*4/4)*(1-B17)-B26*B14</f>
        <v>16565.113195246209</v>
      </c>
      <c r="C37" s="6">
        <f>C26*(C12+(C13-C12)*4/4)*(1-C17)-C26*C14</f>
        <v>8144.0073509552321</v>
      </c>
      <c r="D37" s="6">
        <f>D26*(D12+(D13-D12)*4/4)*(1-D17)-D26*D14</f>
        <v>6167.542436006318</v>
      </c>
      <c r="E37" s="6">
        <f>E26*(E12+(E13-E12)*4/4)*(1-E17)-E26*E14</f>
        <v>16565.113195246209</v>
      </c>
    </row>
    <row r="38" spans="1:5" x14ac:dyDescent="0.25">
      <c r="A38" t="s">
        <v>259</v>
      </c>
      <c r="B38" s="6">
        <f>B27*B13*(1-B17)-B27*B14</f>
        <v>18063.936340764671</v>
      </c>
      <c r="C38" s="6">
        <f>C27*C13*(1-C17)-C27*C14</f>
        <v>7927.0777729760439</v>
      </c>
      <c r="D38" s="6">
        <f>D27*D13*(1-D17)-D27*D14</f>
        <v>6725.586033118977</v>
      </c>
      <c r="E38" s="6">
        <f>E27*E13*(1-E17)-E27*E14</f>
        <v>18063.936340764671</v>
      </c>
    </row>
    <row r="39" spans="1:5" x14ac:dyDescent="0.25">
      <c r="A39" t="s">
        <v>260</v>
      </c>
      <c r="B39" s="6">
        <f>B28*B13*(1-B17)-B28*B14</f>
        <v>19420.393153944668</v>
      </c>
      <c r="C39" s="6">
        <f>C28*C13*(1-C17)-C28*C14</f>
        <v>7826.0386042230102</v>
      </c>
      <c r="D39" s="6">
        <f>D28*D13*(1-D17)-D28*D14</f>
        <v>7230.6236298616523</v>
      </c>
      <c r="E39" s="6">
        <f>E28*E13*(1-E17)-E28*E14</f>
        <v>19420.393153944668</v>
      </c>
    </row>
    <row r="40" spans="1:5" x14ac:dyDescent="0.25">
      <c r="A40" t="s">
        <v>261</v>
      </c>
      <c r="B40" s="6">
        <f>B29*B13*(1-B17)-B29*B14</f>
        <v>20579.853952604142</v>
      </c>
      <c r="C40" s="6">
        <f>C29*C13*(1-C17)-C29*C14</f>
        <v>7834.9959094673195</v>
      </c>
      <c r="D40" s="6">
        <f>D29*D13*(1-D17)-D29*D14</f>
        <v>7662.3154386849264</v>
      </c>
      <c r="E40" s="6">
        <f>E29*E13*(1-E17)-E29*E14</f>
        <v>20579.853952604142</v>
      </c>
    </row>
    <row r="41" spans="1:5" x14ac:dyDescent="0.25">
      <c r="A41" t="s">
        <v>262</v>
      </c>
      <c r="B41" s="6">
        <f>B30*B13*(1-B17)-B30*B14</f>
        <v>21491.840673516042</v>
      </c>
      <c r="C41" s="6">
        <f>C30*C13*(1-C17)-C30*C14</f>
        <v>7952.7965100917691</v>
      </c>
      <c r="D41" s="6">
        <f>D30*D13*(1-D17)-D30*D14</f>
        <v>8001.8674076936586</v>
      </c>
      <c r="E41" s="6">
        <f>E30*E13*(1-E17)-E30*E14</f>
        <v>21491.840673516042</v>
      </c>
    </row>
    <row r="42" spans="1:5" x14ac:dyDescent="0.25">
      <c r="A42" t="s">
        <v>263</v>
      </c>
      <c r="B42" s="6">
        <f>B31*B13*(1-B17)-B31*B14</f>
        <v>22113.509685519781</v>
      </c>
      <c r="C42" s="6">
        <f>C31*C13*(1-C17)-C31*C14</f>
        <v>8182.8376324041974</v>
      </c>
      <c r="D42" s="6">
        <f>D31*D13*(1-D17)-D31*D14</f>
        <v>8233.3279457226708</v>
      </c>
      <c r="E42" s="6">
        <f>E31*E13*(1-E17)-E31*E14</f>
        <v>22113.509685519781</v>
      </c>
    </row>
    <row r="44" spans="1:5" x14ac:dyDescent="0.25">
      <c r="A44" t="s">
        <v>118</v>
      </c>
      <c r="B44" s="6">
        <f>B33/(1+B16)^1</f>
        <v>9870.1925034893702</v>
      </c>
      <c r="C44" s="6">
        <f>C33/(1+C16)^1</f>
        <v>8563.5605503686947</v>
      </c>
      <c r="D44" s="6">
        <f>D33/(1+D16)^1</f>
        <v>9870.1925034893702</v>
      </c>
      <c r="E44" s="6">
        <f>E33/(1+E16)^1</f>
        <v>9322.0675701252403</v>
      </c>
    </row>
    <row r="45" spans="1:5" x14ac:dyDescent="0.25">
      <c r="A45" t="s">
        <v>119</v>
      </c>
      <c r="B45" s="6">
        <f>B34/(1+B16)^2</f>
        <v>10189.63821697503</v>
      </c>
      <c r="C45" s="6">
        <f>C34/(1+C16)^2</f>
        <v>7670.3691262113498</v>
      </c>
      <c r="D45" s="6">
        <f>D34/(1+D16)^2</f>
        <v>8545.812554334796</v>
      </c>
      <c r="E45" s="6">
        <f>E34/(1+E16)^2</f>
        <v>9089.3329379036695</v>
      </c>
    </row>
    <row r="46" spans="1:5" x14ac:dyDescent="0.25">
      <c r="A46" t="s">
        <v>120</v>
      </c>
      <c r="B46" s="6">
        <f>B35/(1+B16)^3</f>
        <v>10518.502239495714</v>
      </c>
      <c r="C46" s="6">
        <f>C35/(1+C16)^3</f>
        <v>6869.7376689035373</v>
      </c>
      <c r="D46" s="6">
        <f>D35/(1+D16)^3</f>
        <v>7156.1956265341541</v>
      </c>
      <c r="E46" s="6">
        <f>E35/(1+E16)^3</f>
        <v>8861.6332927730109</v>
      </c>
    </row>
    <row r="47" spans="1:5" x14ac:dyDescent="0.25">
      <c r="A47" t="s">
        <v>121</v>
      </c>
      <c r="B47" s="6">
        <f>B36/(1+B16)^4</f>
        <v>10857.04758882989</v>
      </c>
      <c r="C47" s="6">
        <f>C36/(1+C16)^4</f>
        <v>6152.1475200752893</v>
      </c>
      <c r="D47" s="6">
        <f>D36/(1+D16)^4</f>
        <v>5699.0618532528624</v>
      </c>
      <c r="E47" s="6">
        <f>E36/(1+E16)^4</f>
        <v>8638.8957971180553</v>
      </c>
    </row>
    <row r="48" spans="1:5" x14ac:dyDescent="0.25">
      <c r="A48" t="s">
        <v>122</v>
      </c>
      <c r="B48" s="6">
        <f>B37/(1+B16)^5</f>
        <v>11205.544371368764</v>
      </c>
      <c r="C48" s="6">
        <f>C37/(1+C16)^5</f>
        <v>5509.0499326060208</v>
      </c>
      <c r="D48" s="6">
        <f>D37/(1+D16)^5</f>
        <v>4172.0614652244994</v>
      </c>
      <c r="E48" s="6">
        <f>E37/(1+E16)^5</f>
        <v>8421.0467287620359</v>
      </c>
    </row>
    <row r="49" spans="1:5" x14ac:dyDescent="0.25">
      <c r="A49" t="s">
        <v>154</v>
      </c>
      <c r="B49" s="6">
        <f>B38/(1+B16)^6</f>
        <v>11300.525930068725</v>
      </c>
      <c r="C49" s="6">
        <f>C38/(1+C16)^6</f>
        <v>4959.0602088777723</v>
      </c>
      <c r="D49" s="6">
        <f>D38/(1+D16)^6</f>
        <v>4207.4251109186407</v>
      </c>
      <c r="E49" s="6">
        <f>E38/(1+E16)^6</f>
        <v>8020.8131136711227</v>
      </c>
    </row>
    <row r="50" spans="1:5" x14ac:dyDescent="0.25">
      <c r="A50" t="s">
        <v>155</v>
      </c>
      <c r="B50" s="6">
        <f>B39/(1+B16)^7</f>
        <v>11235.489290389278</v>
      </c>
      <c r="C50" s="6">
        <f>C39/(1+C16)^7</f>
        <v>4527.6824329408846</v>
      </c>
      <c r="D50" s="6">
        <f>D39/(1+D16)^7</f>
        <v>4183.2105927085659</v>
      </c>
      <c r="E50" s="6">
        <f>E39/(1+E16)^7</f>
        <v>7531.7926396075291</v>
      </c>
    </row>
    <row r="51" spans="1:5" x14ac:dyDescent="0.25">
      <c r="A51" t="s">
        <v>156</v>
      </c>
      <c r="B51" s="6">
        <f>B40/(1+B16)^8</f>
        <v>11010.929226249042</v>
      </c>
      <c r="C51" s="6">
        <f>C40/(1+C16)^8</f>
        <v>4191.9921125669052</v>
      </c>
      <c r="D51" s="6">
        <f>D40/(1+D16)^8</f>
        <v>4099.602125401826</v>
      </c>
      <c r="E51" s="6">
        <f>E40/(1+E16)^8</f>
        <v>6971.3511581640987</v>
      </c>
    </row>
    <row r="52" spans="1:5" x14ac:dyDescent="0.25">
      <c r="A52" t="s">
        <v>157</v>
      </c>
      <c r="B52" s="6">
        <f>B41/(1+B16)^9</f>
        <v>10634.155472158487</v>
      </c>
      <c r="C52" s="6">
        <f>C41/(1+C16)^9</f>
        <v>3935.0410144707043</v>
      </c>
      <c r="D52" s="6">
        <f>D41/(1+D16)^9</f>
        <v>3959.3212779522728</v>
      </c>
      <c r="E52" s="6">
        <f>E41/(1+E16)^9</f>
        <v>6358.9091052712811</v>
      </c>
    </row>
    <row r="53" spans="1:5" x14ac:dyDescent="0.25">
      <c r="A53" t="s">
        <v>158</v>
      </c>
      <c r="B53" s="6">
        <f>B42/(1+B16)^10</f>
        <v>10118.934375298521</v>
      </c>
      <c r="C53" s="6">
        <f>C42/(1+C16)^10</f>
        <v>3744.3896596948052</v>
      </c>
      <c r="D53" s="6">
        <f>D42/(1+D16)^10</f>
        <v>3767.4935529403197</v>
      </c>
      <c r="E53" s="6">
        <f>E42/(1+E16)^10</f>
        <v>5714.7997182426016</v>
      </c>
    </row>
    <row r="54" spans="1:5" x14ac:dyDescent="0.25">
      <c r="A54" t="s">
        <v>160</v>
      </c>
      <c r="B54" s="6">
        <f>SUM(B44:B53)</f>
        <v>106940.95921432281</v>
      </c>
      <c r="C54" s="6">
        <f>SUM(C44:C53)</f>
        <v>56123.030226715971</v>
      </c>
      <c r="D54" s="6">
        <f>SUM(D44:D53)</f>
        <v>55660.376662757313</v>
      </c>
      <c r="E54" s="6">
        <f>SUM(E44:E53)</f>
        <v>78930.642061638631</v>
      </c>
    </row>
    <row r="55" spans="1:5" x14ac:dyDescent="0.25">
      <c r="A55" t="s">
        <v>161</v>
      </c>
      <c r="B55" s="6">
        <f>B42*(1+B15)/MAX(B16-B15,0.01)</f>
        <v>434308.98827522463</v>
      </c>
      <c r="C55" s="6">
        <f>C42*(1+C15)/MAX(C16-C15,0.01)</f>
        <v>160710.80456654192</v>
      </c>
      <c r="D55" s="6">
        <f>D42*(1+D15)/MAX(D16-D15,0.01)</f>
        <v>161702.43353936865</v>
      </c>
      <c r="E55" s="6">
        <f>E42*(1+E15)/MAX(E16-E15,0.01)</f>
        <v>196200.02668046296</v>
      </c>
    </row>
    <row r="56" spans="1:5" x14ac:dyDescent="0.25">
      <c r="A56" t="s">
        <v>162</v>
      </c>
      <c r="B56" s="6">
        <f>B55/(1+B16)^10</f>
        <v>198735.71465849355</v>
      </c>
      <c r="C56" s="6">
        <f>C55/(1+C16)^10</f>
        <v>73539.755015692295</v>
      </c>
      <c r="D56" s="6">
        <f>D55/(1+D16)^10</f>
        <v>73993.515121771212</v>
      </c>
      <c r="E56" s="6">
        <f>E55/(1+E16)^10</f>
        <v>50704.020896642469</v>
      </c>
    </row>
    <row r="57" spans="1:5" x14ac:dyDescent="0.25">
      <c r="A57" t="s">
        <v>264</v>
      </c>
      <c r="B57" s="6">
        <f>B54+B56</f>
        <v>305676.67387281638</v>
      </c>
      <c r="C57" s="6">
        <f>C54+C56</f>
        <v>129662.78524240827</v>
      </c>
      <c r="D57" s="6">
        <f>D54+D56</f>
        <v>129653.89178452853</v>
      </c>
      <c r="E57" s="6">
        <f>E54+E56</f>
        <v>129634.6629582811</v>
      </c>
    </row>
    <row r="58" spans="1:5" x14ac:dyDescent="0.25">
      <c r="A58" t="s">
        <v>265</v>
      </c>
      <c r="B58" s="6">
        <f>B57+B18+B19</f>
        <v>336204.47387281636</v>
      </c>
      <c r="C58" s="6">
        <f>C57+C18+C19</f>
        <v>160190.58524240827</v>
      </c>
      <c r="D58" s="6">
        <f>D57+D18+D19</f>
        <v>160181.69178452855</v>
      </c>
      <c r="E58" s="6">
        <f>E57+E18+E19</f>
        <v>160162.4629582811</v>
      </c>
    </row>
    <row r="59" spans="1:5" x14ac:dyDescent="0.25">
      <c r="A59" s="4" t="s">
        <v>266</v>
      </c>
      <c r="B59" s="32">
        <f>B58/B20</f>
        <v>288.34002905044287</v>
      </c>
      <c r="C59" s="32">
        <f>C58/C20</f>
        <v>137.38472147719406</v>
      </c>
      <c r="D59" s="32">
        <f>D58/D20</f>
        <v>137.37709415482723</v>
      </c>
      <c r="E59" s="32">
        <f>E58/E20</f>
        <v>137.36060288017248</v>
      </c>
    </row>
    <row r="60" spans="1:5" x14ac:dyDescent="0.25">
      <c r="A60" t="s">
        <v>267</v>
      </c>
      <c r="B60" s="6">
        <f>B59-B5</f>
        <v>2.9050442890365957E-5</v>
      </c>
      <c r="C60" s="6">
        <f>C59-B4</f>
        <v>1.4721477194058252E-2</v>
      </c>
      <c r="D60" s="6">
        <f>D59-B4</f>
        <v>7.0941548272287491E-3</v>
      </c>
      <c r="E60" s="6">
        <f>E59-B4</f>
        <v>-9.3971198275255574E-3</v>
      </c>
    </row>
    <row r="62" spans="1:5" x14ac:dyDescent="0.25">
      <c r="A62" s="3" t="s">
        <v>268</v>
      </c>
    </row>
    <row r="63" spans="1:5" x14ac:dyDescent="0.25">
      <c r="A63" t="s">
        <v>269</v>
      </c>
      <c r="B63" s="45">
        <v>4.2060000000000004</v>
      </c>
    </row>
    <row r="64" spans="1:5" x14ac:dyDescent="0.25">
      <c r="A64" t="s">
        <v>270</v>
      </c>
      <c r="B64" s="46">
        <v>13.66</v>
      </c>
    </row>
    <row r="65" spans="1:3" x14ac:dyDescent="0.25">
      <c r="A65" t="s">
        <v>271</v>
      </c>
      <c r="B65" s="47">
        <v>23.788464000000001</v>
      </c>
    </row>
    <row r="66" spans="1:3" x14ac:dyDescent="0.25">
      <c r="A66" t="s">
        <v>272</v>
      </c>
      <c r="B66" s="47">
        <v>17.704837999999999</v>
      </c>
    </row>
    <row r="67" spans="1:3" x14ac:dyDescent="0.25">
      <c r="A67" t="s">
        <v>273</v>
      </c>
      <c r="B67" s="47">
        <v>3.8482875999999999</v>
      </c>
    </row>
    <row r="69" spans="1:3" x14ac:dyDescent="0.25">
      <c r="A69" s="4" t="s">
        <v>274</v>
      </c>
      <c r="B69" s="2" t="s">
        <v>275</v>
      </c>
      <c r="C69" s="2" t="s">
        <v>276</v>
      </c>
    </row>
    <row r="70" spans="1:3" x14ac:dyDescent="0.25">
      <c r="B70" s="48">
        <v>2025</v>
      </c>
      <c r="C70" s="49">
        <v>6.68</v>
      </c>
    </row>
    <row r="71" spans="1:3" x14ac:dyDescent="0.25">
      <c r="B71" s="48">
        <v>2024</v>
      </c>
      <c r="C71" s="49">
        <v>8.27</v>
      </c>
    </row>
    <row r="72" spans="1:3" x14ac:dyDescent="0.25">
      <c r="B72" s="48">
        <v>2023</v>
      </c>
      <c r="C72" s="49">
        <v>5.33</v>
      </c>
    </row>
    <row r="73" spans="1:3" x14ac:dyDescent="0.25">
      <c r="B73" s="48">
        <v>2022</v>
      </c>
      <c r="C73" s="49">
        <v>3.93</v>
      </c>
    </row>
    <row r="77" spans="1:3" x14ac:dyDescent="0.25">
      <c r="A77" s="3" t="s">
        <v>277</v>
      </c>
    </row>
    <row r="79" spans="1:3" x14ac:dyDescent="0.25">
      <c r="A79" t="s">
        <v>278</v>
      </c>
      <c r="B79" s="50">
        <v>147500</v>
      </c>
    </row>
    <row r="80" spans="1:3" x14ac:dyDescent="0.25">
      <c r="A80" t="s">
        <v>279</v>
      </c>
      <c r="B80" s="50">
        <v>323530</v>
      </c>
    </row>
    <row r="81" spans="1:2" x14ac:dyDescent="0.25">
      <c r="A81" t="s">
        <v>280</v>
      </c>
      <c r="B81" s="50">
        <v>10798</v>
      </c>
    </row>
    <row r="82" spans="1:2" x14ac:dyDescent="0.25">
      <c r="A82" t="s">
        <v>281</v>
      </c>
      <c r="B82" s="50">
        <v>16058</v>
      </c>
    </row>
    <row r="83" spans="1:2" x14ac:dyDescent="0.25">
      <c r="A83" s="4" t="s">
        <v>282</v>
      </c>
      <c r="B83" s="33">
        <f>IF(B81&gt;0,B79/B81,"")</f>
        <v>13.65993702537507</v>
      </c>
    </row>
    <row r="84" spans="1:2" x14ac:dyDescent="0.25">
      <c r="A84" s="4" t="s">
        <v>283</v>
      </c>
      <c r="B84" s="33">
        <f>IF(B81&gt;0,B80/B81,"")</f>
        <v>29.962030005556585</v>
      </c>
    </row>
    <row r="85" spans="1:2" x14ac:dyDescent="0.25">
      <c r="A85" s="4" t="s">
        <v>284</v>
      </c>
      <c r="B85" s="33">
        <f>IF(B82&gt;0,B79/B82,"")</f>
        <v>9.1854527338398313</v>
      </c>
    </row>
    <row r="86" spans="1:2" x14ac:dyDescent="0.25">
      <c r="A86" s="4" t="s">
        <v>285</v>
      </c>
      <c r="B86" s="33">
        <f>IF(B82&gt;0,B80/B82,"")</f>
        <v>20.147589986299664</v>
      </c>
    </row>
    <row r="88" spans="1:2" x14ac:dyDescent="0.25">
      <c r="A88" s="4" t="s">
        <v>286</v>
      </c>
    </row>
    <row r="89" spans="1:2" x14ac:dyDescent="0.25">
      <c r="A89" t="s">
        <v>287</v>
      </c>
      <c r="B89" s="46">
        <v>14.91</v>
      </c>
    </row>
    <row r="90" spans="1:2" x14ac:dyDescent="0.25">
      <c r="A90" t="s">
        <v>288</v>
      </c>
      <c r="B90" s="46">
        <v>21.86</v>
      </c>
    </row>
    <row r="91" spans="1:2" x14ac:dyDescent="0.25">
      <c r="A91" t="s">
        <v>289</v>
      </c>
      <c r="B91" s="46">
        <v>29.69</v>
      </c>
    </row>
    <row r="93" spans="1:2" x14ac:dyDescent="0.25">
      <c r="A93" s="4" t="s">
        <v>290</v>
      </c>
      <c r="B93" s="51" t="s">
        <v>291</v>
      </c>
    </row>
    <row r="94" spans="1:2" x14ac:dyDescent="0.25">
      <c r="A94" t="s">
        <v>292</v>
      </c>
      <c r="B94" s="41" t="s">
        <v>293</v>
      </c>
    </row>
    <row r="96" spans="1:2" x14ac:dyDescent="0.25">
      <c r="A96" s="3" t="s">
        <v>294</v>
      </c>
    </row>
    <row r="97" spans="1:5" x14ac:dyDescent="0.25">
      <c r="A97" s="4" t="s">
        <v>295</v>
      </c>
      <c r="B97" s="52">
        <v>0.96</v>
      </c>
    </row>
    <row r="98" spans="1:5" x14ac:dyDescent="0.25">
      <c r="A98" t="s">
        <v>296</v>
      </c>
      <c r="B98" s="46">
        <v>9.35</v>
      </c>
      <c r="C98" s="46">
        <v>12.78</v>
      </c>
      <c r="D98" s="46">
        <v>21.75</v>
      </c>
    </row>
    <row r="99" spans="1:5" x14ac:dyDescent="0.25">
      <c r="A99" s="4" t="s">
        <v>297</v>
      </c>
      <c r="B99" s="4" t="s">
        <v>298</v>
      </c>
      <c r="C99" s="4" t="s">
        <v>299</v>
      </c>
      <c r="D99" s="4" t="s">
        <v>300</v>
      </c>
      <c r="E99" s="4" t="s">
        <v>301</v>
      </c>
    </row>
    <row r="100" spans="1:5" x14ac:dyDescent="0.25">
      <c r="A100" s="48" t="s">
        <v>302</v>
      </c>
      <c r="B100" s="53">
        <v>0.93200000000000005</v>
      </c>
      <c r="C100" s="53">
        <v>1.1539999999999999</v>
      </c>
      <c r="D100" s="53">
        <v>0.317</v>
      </c>
      <c r="E100" s="54">
        <v>12.776</v>
      </c>
    </row>
    <row r="101" spans="1:5" x14ac:dyDescent="0.25">
      <c r="A101" s="48" t="s">
        <v>303</v>
      </c>
      <c r="B101" s="53">
        <v>0.96899999999999997</v>
      </c>
      <c r="C101" s="53">
        <v>1.337</v>
      </c>
      <c r="D101" s="53">
        <v>0.505</v>
      </c>
      <c r="E101" s="54">
        <v>15.487</v>
      </c>
    </row>
    <row r="102" spans="1:5" x14ac:dyDescent="0.25">
      <c r="A102" s="48" t="s">
        <v>304</v>
      </c>
      <c r="B102" s="53">
        <v>0.94299999999999995</v>
      </c>
      <c r="C102" s="53">
        <v>1.0029999999999999</v>
      </c>
      <c r="D102" s="53">
        <v>8.5000000000000006E-2</v>
      </c>
      <c r="E102" s="54">
        <v>12.664</v>
      </c>
    </row>
    <row r="103" spans="1:5" x14ac:dyDescent="0.25">
      <c r="A103" s="48" t="s">
        <v>305</v>
      </c>
      <c r="B103" s="53">
        <v>1.0009999999999999</v>
      </c>
      <c r="C103" s="53">
        <v>1.087</v>
      </c>
      <c r="D103" s="53">
        <v>0.114</v>
      </c>
      <c r="E103" s="54">
        <v>21.747</v>
      </c>
    </row>
    <row r="104" spans="1:5" x14ac:dyDescent="0.25">
      <c r="A104" s="48" t="s">
        <v>306</v>
      </c>
      <c r="B104" s="53">
        <v>1.052</v>
      </c>
      <c r="C104" s="53">
        <v>1.1140000000000001</v>
      </c>
      <c r="D104" s="53">
        <v>7.9000000000000001E-2</v>
      </c>
      <c r="E104" s="54">
        <v>9.3469999999999995</v>
      </c>
    </row>
    <row r="105" spans="1:5" x14ac:dyDescent="0.25">
      <c r="A105" s="48" t="s">
        <v>6</v>
      </c>
      <c r="B105" s="53">
        <v>0.95</v>
      </c>
      <c r="C105" s="53">
        <v>0.97</v>
      </c>
      <c r="D105" s="53">
        <v>2.8000000000000001E-2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workbookViewId="0"/>
  </sheetViews>
  <sheetFormatPr baseColWidth="10" defaultColWidth="9.140625" defaultRowHeight="15" x14ac:dyDescent="0.25"/>
  <cols>
    <col min="1" max="1" width="36" customWidth="1"/>
    <col min="2" max="2" width="18" customWidth="1"/>
  </cols>
  <sheetData>
    <row r="1" spans="1:2" ht="15.75" customHeight="1" x14ac:dyDescent="0.25">
      <c r="A1" s="34" t="s">
        <v>307</v>
      </c>
    </row>
    <row r="2" spans="1:2" x14ac:dyDescent="0.25">
      <c r="A2" s="2" t="s">
        <v>308</v>
      </c>
    </row>
    <row r="4" spans="1:2" x14ac:dyDescent="0.25">
      <c r="A4" s="4" t="s">
        <v>309</v>
      </c>
      <c r="B4" s="30" t="s">
        <v>310</v>
      </c>
    </row>
    <row r="5" spans="1:2" x14ac:dyDescent="0.25">
      <c r="A5" s="4" t="s">
        <v>311</v>
      </c>
      <c r="B5" s="30" t="s">
        <v>312</v>
      </c>
    </row>
    <row r="6" spans="1:2" x14ac:dyDescent="0.25">
      <c r="A6" s="4" t="s">
        <v>313</v>
      </c>
      <c r="B6" s="30" t="s">
        <v>314</v>
      </c>
    </row>
    <row r="7" spans="1:2" x14ac:dyDescent="0.25">
      <c r="A7" s="4" t="s">
        <v>315</v>
      </c>
      <c r="B7" s="30" t="s">
        <v>316</v>
      </c>
    </row>
    <row r="8" spans="1:2" x14ac:dyDescent="0.25">
      <c r="A8" s="4" t="s">
        <v>317</v>
      </c>
      <c r="B8" s="30" t="s">
        <v>318</v>
      </c>
    </row>
    <row r="9" spans="1:2" x14ac:dyDescent="0.25">
      <c r="A9" s="4" t="s">
        <v>319</v>
      </c>
      <c r="B9" s="30" t="s">
        <v>320</v>
      </c>
    </row>
    <row r="10" spans="1:2" x14ac:dyDescent="0.25">
      <c r="A10" s="4" t="s">
        <v>321</v>
      </c>
      <c r="B10" s="30" t="s">
        <v>216</v>
      </c>
    </row>
    <row r="11" spans="1:2" x14ac:dyDescent="0.25">
      <c r="A11" s="4" t="s">
        <v>322</v>
      </c>
      <c r="B11" s="30" t="s">
        <v>323</v>
      </c>
    </row>
    <row r="12" spans="1:2" x14ac:dyDescent="0.25">
      <c r="A12" s="4" t="s">
        <v>324</v>
      </c>
      <c r="B12" s="30" t="s">
        <v>325</v>
      </c>
    </row>
    <row r="13" spans="1:2" x14ac:dyDescent="0.25">
      <c r="A13" s="4" t="s">
        <v>326</v>
      </c>
      <c r="B13" s="30" t="s">
        <v>327</v>
      </c>
    </row>
    <row r="14" spans="1:2" x14ac:dyDescent="0.25">
      <c r="A14" s="4" t="s">
        <v>328</v>
      </c>
      <c r="B14" s="30" t="s">
        <v>214</v>
      </c>
    </row>
    <row r="15" spans="1:2" x14ac:dyDescent="0.25">
      <c r="A15" s="4" t="s">
        <v>329</v>
      </c>
      <c r="B15" s="30" t="s">
        <v>216</v>
      </c>
    </row>
    <row r="16" spans="1:2" x14ac:dyDescent="0.25">
      <c r="A16" s="4" t="s">
        <v>330</v>
      </c>
      <c r="B16" s="30" t="s">
        <v>218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23</vt:i4>
      </vt:variant>
    </vt:vector>
  </HeadingPairs>
  <TitlesOfParts>
    <vt:vector size="31" baseType="lpstr">
      <vt:lpstr>Inputs</vt:lpstr>
      <vt:lpstr>DCF Base</vt:lpstr>
      <vt:lpstr>DCF Bull</vt:lpstr>
      <vt:lpstr>DCF Bear</vt:lpstr>
      <vt:lpstr>Adjustments</vt:lpstr>
      <vt:lpstr>Szenarien</vt:lpstr>
      <vt:lpstr>Markt-implizit</vt:lpstr>
      <vt:lpstr>Outputs</vt:lpstr>
      <vt:lpstr>OUT_EQUITY</vt:lpstr>
      <vt:lpstr>OUT_GROUP_EV</vt:lpstr>
      <vt:lpstr>OUT_MINORITY</vt:lpstr>
      <vt:lpstr>OUT_NET_DEBT</vt:lpstr>
      <vt:lpstr>OUT_PRICE_TARGET</vt:lpstr>
      <vt:lpstr>OUT_SEG_EV_1</vt:lpstr>
      <vt:lpstr>OUT_SEG_EV_2</vt:lpstr>
      <vt:lpstr>OUT_SEG_EV_3</vt:lpstr>
      <vt:lpstr>OUT_SEG_EV_4</vt:lpstr>
      <vt:lpstr>OUT_SEG_EV_5</vt:lpstr>
      <vt:lpstr>OUT_SEG_EV_6</vt:lpstr>
      <vt:lpstr>OUT_SEG_EV_7</vt:lpstr>
      <vt:lpstr>OUT_SEG_EV_8</vt:lpstr>
      <vt:lpstr>OUT_SEG_WACC_1</vt:lpstr>
      <vt:lpstr>OUT_SEG_WACC_2</vt:lpstr>
      <vt:lpstr>OUT_SEG_WACC_3</vt:lpstr>
      <vt:lpstr>OUT_SEG_WACC_4</vt:lpstr>
      <vt:lpstr>OUT_SEG_WACC_5</vt:lpstr>
      <vt:lpstr>OUT_SEG_WACC_6</vt:lpstr>
      <vt:lpstr>OUT_SEG_WACC_7</vt:lpstr>
      <vt:lpstr>OUT_SEG_WACC_8</vt:lpstr>
      <vt:lpstr>OUT_SHARES</vt:lpstr>
      <vt:lpstr>OUT_WACC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Jannick Wrage</cp:lastModifiedBy>
  <dcterms:created xsi:type="dcterms:W3CDTF">2026-07-27T11:26:06Z</dcterms:created>
  <dcterms:modified xsi:type="dcterms:W3CDTF">2026-07-27T12:27:09Z</dcterms:modified>
</cp:coreProperties>
</file>