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Sartorius\2026-08-18_run1\"/>
    </mc:Choice>
  </mc:AlternateContent>
  <xr:revisionPtr revIDLastSave="0" documentId="13_ncr:1_{77CFA37C-7674-4C2E-97E6-61BDF220293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26" i="7"/>
  <c r="B37" i="7" s="1"/>
  <c r="B48" i="7" s="1"/>
  <c r="C25" i="7"/>
  <c r="B25" i="7"/>
  <c r="B36" i="7" s="1"/>
  <c r="B47" i="7" s="1"/>
  <c r="E24" i="7"/>
  <c r="D24" i="7"/>
  <c r="D35" i="7" s="1"/>
  <c r="D46" i="7" s="1"/>
  <c r="C24" i="7"/>
  <c r="B24" i="7"/>
  <c r="B35" i="7" s="1"/>
  <c r="B46" i="7" s="1"/>
  <c r="E23" i="7"/>
  <c r="E34" i="7" s="1"/>
  <c r="E45" i="7" s="1"/>
  <c r="D23" i="7"/>
  <c r="D34" i="7" s="1"/>
  <c r="D45" i="7" s="1"/>
  <c r="C23" i="7"/>
  <c r="B23" i="7"/>
  <c r="B34" i="7" s="1"/>
  <c r="B45" i="7" s="1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D15" i="7"/>
  <c r="C15" i="7"/>
  <c r="E14" i="7"/>
  <c r="D14" i="7"/>
  <c r="C14" i="7"/>
  <c r="E13" i="7"/>
  <c r="C13" i="7"/>
  <c r="E12" i="7"/>
  <c r="D12" i="7"/>
  <c r="C12" i="7"/>
  <c r="E11" i="7"/>
  <c r="D11" i="7"/>
  <c r="E10" i="7"/>
  <c r="E26" i="7" s="1"/>
  <c r="D10" i="7"/>
  <c r="D26" i="7" s="1"/>
  <c r="C10" i="7"/>
  <c r="C22" i="7" s="1"/>
  <c r="B6" i="7"/>
  <c r="D9" i="5"/>
  <c r="D8" i="5"/>
  <c r="D7" i="5"/>
  <c r="D6" i="5"/>
  <c r="D5" i="5"/>
  <c r="B135" i="4"/>
  <c r="K111" i="4" s="1"/>
  <c r="B131" i="4"/>
  <c r="B133" i="4" s="1"/>
  <c r="B134" i="4" s="1"/>
  <c r="K114" i="4" s="1"/>
  <c r="K121" i="4"/>
  <c r="K120" i="4"/>
  <c r="J106" i="4"/>
  <c r="I106" i="4"/>
  <c r="H106" i="4"/>
  <c r="G106" i="4"/>
  <c r="F106" i="4"/>
  <c r="E106" i="4"/>
  <c r="C106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I63" i="4"/>
  <c r="I75" i="4" s="1"/>
  <c r="I81" i="4" s="1"/>
  <c r="C52" i="4"/>
  <c r="H51" i="4"/>
  <c r="I49" i="4"/>
  <c r="H49" i="4"/>
  <c r="D48" i="4"/>
  <c r="C48" i="4"/>
  <c r="I45" i="4"/>
  <c r="H45" i="4"/>
  <c r="F45" i="4"/>
  <c r="E45" i="4"/>
  <c r="D45" i="4"/>
  <c r="C34" i="4"/>
  <c r="C40" i="4" s="1"/>
  <c r="H33" i="4"/>
  <c r="H39" i="4" s="1"/>
  <c r="F33" i="4"/>
  <c r="F39" i="4" s="1"/>
  <c r="E33" i="4"/>
  <c r="E39" i="4" s="1"/>
  <c r="E51" i="4" s="1"/>
  <c r="J31" i="4"/>
  <c r="I31" i="4"/>
  <c r="H31" i="4"/>
  <c r="H37" i="4" s="1"/>
  <c r="H43" i="4" s="1"/>
  <c r="G31" i="4"/>
  <c r="G37" i="4" s="1"/>
  <c r="G43" i="4" s="1"/>
  <c r="F31" i="4"/>
  <c r="E31" i="4"/>
  <c r="D31" i="4"/>
  <c r="C31" i="4"/>
  <c r="J30" i="4"/>
  <c r="I30" i="4"/>
  <c r="I36" i="4" s="1"/>
  <c r="I42" i="4" s="1"/>
  <c r="I54" i="4" s="1"/>
  <c r="H30" i="4"/>
  <c r="G30" i="4"/>
  <c r="F30" i="4"/>
  <c r="E30" i="4"/>
  <c r="D30" i="4"/>
  <c r="D36" i="4" s="1"/>
  <c r="D42" i="4" s="1"/>
  <c r="D54" i="4" s="1"/>
  <c r="C30" i="4"/>
  <c r="J29" i="4"/>
  <c r="I29" i="4"/>
  <c r="H29" i="4"/>
  <c r="G29" i="4"/>
  <c r="F29" i="4"/>
  <c r="E29" i="4"/>
  <c r="D29" i="4"/>
  <c r="C29" i="4"/>
  <c r="J28" i="4"/>
  <c r="I28" i="4"/>
  <c r="H28" i="4"/>
  <c r="G28" i="4"/>
  <c r="F28" i="4"/>
  <c r="E28" i="4"/>
  <c r="D28" i="4"/>
  <c r="C28" i="4"/>
  <c r="J27" i="4"/>
  <c r="I27" i="4"/>
  <c r="H27" i="4"/>
  <c r="G27" i="4"/>
  <c r="F27" i="4"/>
  <c r="E27" i="4"/>
  <c r="D27" i="4"/>
  <c r="C27" i="4"/>
  <c r="J25" i="4"/>
  <c r="I25" i="4"/>
  <c r="I37" i="4" s="1"/>
  <c r="I43" i="4" s="1"/>
  <c r="I55" i="4" s="1"/>
  <c r="H25" i="4"/>
  <c r="H63" i="4" s="1"/>
  <c r="G25" i="4"/>
  <c r="G49" i="4" s="1"/>
  <c r="F25" i="4"/>
  <c r="F49" i="4" s="1"/>
  <c r="E25" i="4"/>
  <c r="E37" i="4" s="1"/>
  <c r="E43" i="4" s="1"/>
  <c r="D25" i="4"/>
  <c r="D49" i="4" s="1"/>
  <c r="C25" i="4"/>
  <c r="J24" i="4"/>
  <c r="I24" i="4"/>
  <c r="I48" i="4" s="1"/>
  <c r="H24" i="4"/>
  <c r="G24" i="4"/>
  <c r="F24" i="4"/>
  <c r="F48" i="4" s="1"/>
  <c r="E24" i="4"/>
  <c r="E48" i="4" s="1"/>
  <c r="D24" i="4"/>
  <c r="C24" i="4"/>
  <c r="C36" i="4" s="1"/>
  <c r="C42" i="4" s="1"/>
  <c r="C54" i="4" s="1"/>
  <c r="J23" i="4"/>
  <c r="J47" i="4" s="1"/>
  <c r="I23" i="4"/>
  <c r="H23" i="4"/>
  <c r="H47" i="4" s="1"/>
  <c r="G23" i="4"/>
  <c r="G35" i="4" s="1"/>
  <c r="G41" i="4" s="1"/>
  <c r="F23" i="4"/>
  <c r="E23" i="4"/>
  <c r="E35" i="4" s="1"/>
  <c r="E41" i="4" s="1"/>
  <c r="D23" i="4"/>
  <c r="D47" i="4" s="1"/>
  <c r="C23" i="4"/>
  <c r="C35" i="4" s="1"/>
  <c r="C41" i="4" s="1"/>
  <c r="J22" i="4"/>
  <c r="J46" i="4" s="1"/>
  <c r="I22" i="4"/>
  <c r="I34" i="4" s="1"/>
  <c r="I40" i="4" s="1"/>
  <c r="H22" i="4"/>
  <c r="H46" i="4" s="1"/>
  <c r="G22" i="4"/>
  <c r="G46" i="4" s="1"/>
  <c r="F22" i="4"/>
  <c r="F46" i="4" s="1"/>
  <c r="E22" i="4"/>
  <c r="D22" i="4"/>
  <c r="C22" i="4"/>
  <c r="C46" i="4" s="1"/>
  <c r="J21" i="4"/>
  <c r="I21" i="4"/>
  <c r="H21" i="4"/>
  <c r="G21" i="4"/>
  <c r="F21" i="4"/>
  <c r="E21" i="4"/>
  <c r="D21" i="4"/>
  <c r="C21" i="4"/>
  <c r="B135" i="3"/>
  <c r="B133" i="3"/>
  <c r="B134" i="3" s="1"/>
  <c r="K114" i="3" s="1"/>
  <c r="B131" i="3"/>
  <c r="K121" i="3"/>
  <c r="K120" i="3"/>
  <c r="K111" i="3"/>
  <c r="J106" i="3"/>
  <c r="I106" i="3"/>
  <c r="H106" i="3"/>
  <c r="G106" i="3"/>
  <c r="F106" i="3"/>
  <c r="E106" i="3"/>
  <c r="C106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E64" i="3"/>
  <c r="E65" i="3" s="1"/>
  <c r="E49" i="3"/>
  <c r="C49" i="3"/>
  <c r="J47" i="3"/>
  <c r="I47" i="3"/>
  <c r="G46" i="3"/>
  <c r="F46" i="3"/>
  <c r="F52" i="3" s="1"/>
  <c r="E46" i="3"/>
  <c r="D46" i="3"/>
  <c r="C46" i="3"/>
  <c r="J45" i="3"/>
  <c r="I45" i="3"/>
  <c r="E37" i="3"/>
  <c r="E43" i="3" s="1"/>
  <c r="E55" i="3" s="1"/>
  <c r="H36" i="3"/>
  <c r="H42" i="3" s="1"/>
  <c r="H54" i="3" s="1"/>
  <c r="G34" i="3"/>
  <c r="G40" i="3" s="1"/>
  <c r="D34" i="3"/>
  <c r="D40" i="3" s="1"/>
  <c r="J33" i="3"/>
  <c r="J39" i="3" s="1"/>
  <c r="G33" i="3"/>
  <c r="G39" i="3" s="1"/>
  <c r="G51" i="3" s="1"/>
  <c r="F33" i="3"/>
  <c r="F39" i="3" s="1"/>
  <c r="E33" i="3"/>
  <c r="E39" i="3" s="1"/>
  <c r="J31" i="3"/>
  <c r="I31" i="3"/>
  <c r="H31" i="3"/>
  <c r="G31" i="3"/>
  <c r="F31" i="3"/>
  <c r="E31" i="3"/>
  <c r="D31" i="3"/>
  <c r="C31" i="3"/>
  <c r="J30" i="3"/>
  <c r="J36" i="3" s="1"/>
  <c r="J42" i="3" s="1"/>
  <c r="J54" i="3" s="1"/>
  <c r="I30" i="3"/>
  <c r="H30" i="3"/>
  <c r="G30" i="3"/>
  <c r="F30" i="3"/>
  <c r="E30" i="3"/>
  <c r="D30" i="3"/>
  <c r="D36" i="3" s="1"/>
  <c r="D42" i="3" s="1"/>
  <c r="C30" i="3"/>
  <c r="J29" i="3"/>
  <c r="I29" i="3"/>
  <c r="I35" i="3" s="1"/>
  <c r="I41" i="3" s="1"/>
  <c r="I53" i="3" s="1"/>
  <c r="H29" i="3"/>
  <c r="G29" i="3"/>
  <c r="G35" i="3" s="1"/>
  <c r="G41" i="3" s="1"/>
  <c r="F29" i="3"/>
  <c r="E29" i="3"/>
  <c r="D29" i="3"/>
  <c r="C29" i="3"/>
  <c r="J28" i="3"/>
  <c r="I28" i="3"/>
  <c r="H28" i="3"/>
  <c r="G28" i="3"/>
  <c r="F28" i="3"/>
  <c r="E28" i="3"/>
  <c r="D28" i="3"/>
  <c r="C28" i="3"/>
  <c r="J27" i="3"/>
  <c r="I27" i="3"/>
  <c r="H27" i="3"/>
  <c r="G27" i="3"/>
  <c r="F27" i="3"/>
  <c r="E27" i="3"/>
  <c r="D27" i="3"/>
  <c r="C27" i="3"/>
  <c r="J25" i="3"/>
  <c r="J49" i="3" s="1"/>
  <c r="I25" i="3"/>
  <c r="H25" i="3"/>
  <c r="H63" i="3" s="1"/>
  <c r="H87" i="3" s="1"/>
  <c r="G25" i="3"/>
  <c r="F25" i="3"/>
  <c r="E25" i="3"/>
  <c r="E63" i="3" s="1"/>
  <c r="E87" i="3" s="1"/>
  <c r="D25" i="3"/>
  <c r="D37" i="3" s="1"/>
  <c r="D43" i="3" s="1"/>
  <c r="C25" i="3"/>
  <c r="J24" i="3"/>
  <c r="J48" i="3" s="1"/>
  <c r="I24" i="3"/>
  <c r="H24" i="3"/>
  <c r="H48" i="3" s="1"/>
  <c r="G24" i="3"/>
  <c r="F24" i="3"/>
  <c r="E24" i="3"/>
  <c r="E48" i="3" s="1"/>
  <c r="D24" i="3"/>
  <c r="D48" i="3" s="1"/>
  <c r="C24" i="3"/>
  <c r="C48" i="3" s="1"/>
  <c r="J23" i="3"/>
  <c r="I23" i="3"/>
  <c r="H23" i="3"/>
  <c r="G23" i="3"/>
  <c r="G47" i="3" s="1"/>
  <c r="F23" i="3"/>
  <c r="F47" i="3" s="1"/>
  <c r="E23" i="3"/>
  <c r="E47" i="3" s="1"/>
  <c r="D23" i="3"/>
  <c r="D47" i="3" s="1"/>
  <c r="C23" i="3"/>
  <c r="J22" i="3"/>
  <c r="I22" i="3"/>
  <c r="H22" i="3"/>
  <c r="H46" i="3" s="1"/>
  <c r="G22" i="3"/>
  <c r="F22" i="3"/>
  <c r="F34" i="3" s="1"/>
  <c r="F40" i="3" s="1"/>
  <c r="E22" i="3"/>
  <c r="D22" i="3"/>
  <c r="C22" i="3"/>
  <c r="J21" i="3"/>
  <c r="I21" i="3"/>
  <c r="H21" i="3"/>
  <c r="H33" i="3" s="1"/>
  <c r="H39" i="3" s="1"/>
  <c r="G21" i="3"/>
  <c r="G45" i="3" s="1"/>
  <c r="F21" i="3"/>
  <c r="F45" i="3" s="1"/>
  <c r="E21" i="3"/>
  <c r="E45" i="3" s="1"/>
  <c r="D21" i="3"/>
  <c r="D45" i="3" s="1"/>
  <c r="C21" i="3"/>
  <c r="C33" i="3" s="1"/>
  <c r="C39" i="3" s="1"/>
  <c r="B135" i="2"/>
  <c r="K111" i="2" s="1"/>
  <c r="B131" i="2"/>
  <c r="B133" i="2" s="1"/>
  <c r="B134" i="2" s="1"/>
  <c r="K114" i="2" s="1"/>
  <c r="K121" i="2"/>
  <c r="K120" i="2"/>
  <c r="J106" i="2"/>
  <c r="I106" i="2"/>
  <c r="H106" i="2"/>
  <c r="G106" i="2"/>
  <c r="F106" i="2"/>
  <c r="E106" i="2"/>
  <c r="C106" i="2"/>
  <c r="H76" i="2"/>
  <c r="H82" i="2" s="1"/>
  <c r="H94" i="2" s="1"/>
  <c r="G76" i="2"/>
  <c r="G82" i="2" s="1"/>
  <c r="H75" i="2"/>
  <c r="H81" i="2" s="1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H63" i="2"/>
  <c r="H64" i="2" s="1"/>
  <c r="H88" i="2" s="1"/>
  <c r="G63" i="2"/>
  <c r="G64" i="2" s="1"/>
  <c r="G65" i="2" s="1"/>
  <c r="C63" i="2"/>
  <c r="D49" i="2"/>
  <c r="J48" i="2"/>
  <c r="J47" i="2"/>
  <c r="J45" i="2"/>
  <c r="I45" i="2"/>
  <c r="H45" i="2"/>
  <c r="G45" i="2"/>
  <c r="E45" i="2"/>
  <c r="D45" i="2"/>
  <c r="C45" i="2"/>
  <c r="E40" i="2"/>
  <c r="J39" i="2"/>
  <c r="J51" i="2" s="1"/>
  <c r="F36" i="2"/>
  <c r="F42" i="2" s="1"/>
  <c r="F54" i="2" s="1"/>
  <c r="J33" i="2"/>
  <c r="I33" i="2"/>
  <c r="I39" i="2" s="1"/>
  <c r="I51" i="2" s="1"/>
  <c r="H33" i="2"/>
  <c r="H39" i="2" s="1"/>
  <c r="H51" i="2" s="1"/>
  <c r="G33" i="2"/>
  <c r="G39" i="2" s="1"/>
  <c r="G51" i="2" s="1"/>
  <c r="F33" i="2"/>
  <c r="F39" i="2" s="1"/>
  <c r="F51" i="2" s="1"/>
  <c r="E33" i="2"/>
  <c r="E39" i="2" s="1"/>
  <c r="J31" i="2"/>
  <c r="I31" i="2"/>
  <c r="H31" i="2"/>
  <c r="G31" i="2"/>
  <c r="F31" i="2"/>
  <c r="E31" i="2"/>
  <c r="D31" i="2"/>
  <c r="C31" i="2"/>
  <c r="J30" i="2"/>
  <c r="I30" i="2"/>
  <c r="H30" i="2"/>
  <c r="H36" i="2" s="1"/>
  <c r="H42" i="2" s="1"/>
  <c r="G30" i="2"/>
  <c r="G36" i="2" s="1"/>
  <c r="G42" i="2" s="1"/>
  <c r="G54" i="2" s="1"/>
  <c r="F30" i="2"/>
  <c r="E30" i="2"/>
  <c r="D30" i="2"/>
  <c r="C30" i="2"/>
  <c r="J29" i="2"/>
  <c r="J35" i="2" s="1"/>
  <c r="J41" i="2" s="1"/>
  <c r="J53" i="2" s="1"/>
  <c r="I29" i="2"/>
  <c r="H29" i="2"/>
  <c r="G29" i="2"/>
  <c r="F29" i="2"/>
  <c r="E29" i="2"/>
  <c r="D29" i="2"/>
  <c r="C29" i="2"/>
  <c r="J28" i="2"/>
  <c r="I28" i="2"/>
  <c r="H28" i="2"/>
  <c r="G28" i="2"/>
  <c r="F28" i="2"/>
  <c r="E28" i="2"/>
  <c r="D28" i="2"/>
  <c r="C28" i="2"/>
  <c r="J27" i="2"/>
  <c r="I27" i="2"/>
  <c r="H27" i="2"/>
  <c r="G27" i="2"/>
  <c r="F27" i="2"/>
  <c r="E27" i="2"/>
  <c r="D27" i="2"/>
  <c r="D33" i="2" s="1"/>
  <c r="D39" i="2" s="1"/>
  <c r="D51" i="2" s="1"/>
  <c r="C27" i="2"/>
  <c r="J25" i="2"/>
  <c r="I25" i="2"/>
  <c r="H25" i="2"/>
  <c r="H49" i="2" s="1"/>
  <c r="G25" i="2"/>
  <c r="G49" i="2" s="1"/>
  <c r="F25" i="2"/>
  <c r="E25" i="2"/>
  <c r="D25" i="2"/>
  <c r="D37" i="2" s="1"/>
  <c r="D43" i="2" s="1"/>
  <c r="D55" i="2" s="1"/>
  <c r="C25" i="2"/>
  <c r="C37" i="2" s="1"/>
  <c r="C43" i="2" s="1"/>
  <c r="J24" i="2"/>
  <c r="I24" i="2"/>
  <c r="I48" i="2" s="1"/>
  <c r="H24" i="2"/>
  <c r="H48" i="2" s="1"/>
  <c r="G24" i="2"/>
  <c r="G48" i="2" s="1"/>
  <c r="F24" i="2"/>
  <c r="F48" i="2" s="1"/>
  <c r="E24" i="2"/>
  <c r="E48" i="2" s="1"/>
  <c r="D24" i="2"/>
  <c r="D48" i="2" s="1"/>
  <c r="C24" i="2"/>
  <c r="C48" i="2" s="1"/>
  <c r="J23" i="2"/>
  <c r="I23" i="2"/>
  <c r="I47" i="2" s="1"/>
  <c r="H23" i="2"/>
  <c r="G23" i="2"/>
  <c r="F23" i="2"/>
  <c r="F35" i="2" s="1"/>
  <c r="F41" i="2" s="1"/>
  <c r="E23" i="2"/>
  <c r="D23" i="2"/>
  <c r="C23" i="2"/>
  <c r="J22" i="2"/>
  <c r="I22" i="2"/>
  <c r="I34" i="2" s="1"/>
  <c r="I40" i="2" s="1"/>
  <c r="H22" i="2"/>
  <c r="H46" i="2" s="1"/>
  <c r="G22" i="2"/>
  <c r="G46" i="2" s="1"/>
  <c r="F22" i="2"/>
  <c r="F46" i="2" s="1"/>
  <c r="E22" i="2"/>
  <c r="E34" i="2" s="1"/>
  <c r="D22" i="2"/>
  <c r="D46" i="2" s="1"/>
  <c r="C22" i="2"/>
  <c r="C46" i="2" s="1"/>
  <c r="J21" i="2"/>
  <c r="I21" i="2"/>
  <c r="H21" i="2"/>
  <c r="G21" i="2"/>
  <c r="F21" i="2"/>
  <c r="F45" i="2" s="1"/>
  <c r="E21" i="2"/>
  <c r="D21" i="2"/>
  <c r="C21" i="2"/>
  <c r="B37" i="1"/>
  <c r="B38" i="1" s="1"/>
  <c r="B30" i="1"/>
  <c r="B29" i="1"/>
  <c r="G16" i="3" s="1"/>
  <c r="B28" i="1"/>
  <c r="C16" i="3" s="1"/>
  <c r="B23" i="1"/>
  <c r="B26" i="1" s="1"/>
  <c r="B31" i="1" s="1"/>
  <c r="B14" i="1"/>
  <c r="H75" i="4" l="1"/>
  <c r="H81" i="4" s="1"/>
  <c r="H64" i="4"/>
  <c r="H87" i="4"/>
  <c r="E51" i="3"/>
  <c r="E57" i="3" s="1"/>
  <c r="C27" i="7"/>
  <c r="H55" i="4"/>
  <c r="C16" i="2"/>
  <c r="E51" i="2"/>
  <c r="E57" i="2" s="1"/>
  <c r="C36" i="3"/>
  <c r="C42" i="3" s="1"/>
  <c r="C54" i="3" s="1"/>
  <c r="F63" i="4"/>
  <c r="F75" i="4" s="1"/>
  <c r="F81" i="4" s="1"/>
  <c r="D16" i="2"/>
  <c r="D57" i="2" s="1"/>
  <c r="J34" i="2"/>
  <c r="J40" i="2" s="1"/>
  <c r="J52" i="2" s="1"/>
  <c r="J58" i="2" s="1"/>
  <c r="F57" i="2"/>
  <c r="G87" i="2"/>
  <c r="J35" i="3"/>
  <c r="J41" i="3" s="1"/>
  <c r="J53" i="3" s="1"/>
  <c r="E36" i="3"/>
  <c r="E42" i="3" s="1"/>
  <c r="E54" i="3" s="1"/>
  <c r="H35" i="4"/>
  <c r="H41" i="4" s="1"/>
  <c r="H53" i="4" s="1"/>
  <c r="G63" i="4"/>
  <c r="E35" i="7"/>
  <c r="E46" i="7" s="1"/>
  <c r="I37" i="2"/>
  <c r="I43" i="2" s="1"/>
  <c r="D11" i="5"/>
  <c r="D12" i="5" s="1"/>
  <c r="J37" i="3"/>
  <c r="J43" i="3" s="1"/>
  <c r="F16" i="4"/>
  <c r="F60" i="4" s="1"/>
  <c r="J34" i="4"/>
  <c r="J40" i="4" s="1"/>
  <c r="J52" i="4" s="1"/>
  <c r="I16" i="2"/>
  <c r="I57" i="2" s="1"/>
  <c r="C36" i="2"/>
  <c r="C42" i="2" s="1"/>
  <c r="C54" i="2" s="1"/>
  <c r="C34" i="2"/>
  <c r="C40" i="2" s="1"/>
  <c r="C52" i="2" s="1"/>
  <c r="I33" i="3"/>
  <c r="I39" i="3" s="1"/>
  <c r="I51" i="3" s="1"/>
  <c r="G36" i="3"/>
  <c r="G42" i="3" s="1"/>
  <c r="D35" i="4"/>
  <c r="D41" i="4" s="1"/>
  <c r="D53" i="4" s="1"/>
  <c r="E47" i="4"/>
  <c r="E53" i="4" s="1"/>
  <c r="B27" i="7"/>
  <c r="J16" i="2"/>
  <c r="J57" i="2" s="1"/>
  <c r="F34" i="2"/>
  <c r="F40" i="2" s="1"/>
  <c r="F52" i="2" s="1"/>
  <c r="D49" i="3"/>
  <c r="D55" i="3" s="1"/>
  <c r="D61" i="3" s="1"/>
  <c r="G47" i="4"/>
  <c r="D16" i="3"/>
  <c r="F16" i="3"/>
  <c r="C47" i="4"/>
  <c r="C53" i="4" s="1"/>
  <c r="C26" i="7"/>
  <c r="E16" i="3"/>
  <c r="G57" i="3"/>
  <c r="D54" i="3"/>
  <c r="I46" i="4"/>
  <c r="I52" i="4" s="1"/>
  <c r="I58" i="4" s="1"/>
  <c r="C33" i="2"/>
  <c r="C39" i="2" s="1"/>
  <c r="C51" i="2" s="1"/>
  <c r="G34" i="2"/>
  <c r="G40" i="2" s="1"/>
  <c r="G52" i="2" s="1"/>
  <c r="H34" i="2"/>
  <c r="H40" i="2" s="1"/>
  <c r="H52" i="2" s="1"/>
  <c r="I46" i="2"/>
  <c r="I52" i="2" s="1"/>
  <c r="C35" i="2"/>
  <c r="C41" i="2" s="1"/>
  <c r="C53" i="2" s="1"/>
  <c r="H87" i="2"/>
  <c r="H93" i="2" s="1"/>
  <c r="D63" i="2"/>
  <c r="D87" i="2" s="1"/>
  <c r="H57" i="4"/>
  <c r="F51" i="4"/>
  <c r="H57" i="2"/>
  <c r="G88" i="2"/>
  <c r="G94" i="2" s="1"/>
  <c r="G100" i="2" s="1"/>
  <c r="F36" i="4"/>
  <c r="F42" i="4" s="1"/>
  <c r="F54" i="4" s="1"/>
  <c r="I33" i="4"/>
  <c r="I39" i="4" s="1"/>
  <c r="I51" i="4" s="1"/>
  <c r="G36" i="4"/>
  <c r="G42" i="4" s="1"/>
  <c r="F51" i="3"/>
  <c r="F57" i="3" s="1"/>
  <c r="E16" i="2"/>
  <c r="H54" i="2"/>
  <c r="H60" i="2" s="1"/>
  <c r="I36" i="2"/>
  <c r="I42" i="2" s="1"/>
  <c r="I54" i="2" s="1"/>
  <c r="C45" i="3"/>
  <c r="C51" i="3" s="1"/>
  <c r="C57" i="3" s="1"/>
  <c r="J16" i="3"/>
  <c r="J107" i="3" s="1"/>
  <c r="F16" i="2"/>
  <c r="F107" i="2" s="1"/>
  <c r="G16" i="2"/>
  <c r="G57" i="2" s="1"/>
  <c r="H16" i="2"/>
  <c r="H100" i="2" s="1"/>
  <c r="H16" i="4"/>
  <c r="H107" i="4" s="1"/>
  <c r="J46" i="2"/>
  <c r="H37" i="2"/>
  <c r="H43" i="2" s="1"/>
  <c r="H55" i="2" s="1"/>
  <c r="H61" i="2" s="1"/>
  <c r="D22" i="7"/>
  <c r="D33" i="7" s="1"/>
  <c r="D44" i="7" s="1"/>
  <c r="G53" i="3"/>
  <c r="G55" i="4"/>
  <c r="G34" i="4"/>
  <c r="G40" i="4" s="1"/>
  <c r="G52" i="4" s="1"/>
  <c r="G58" i="4" s="1"/>
  <c r="J34" i="3"/>
  <c r="J40" i="3" s="1"/>
  <c r="F35" i="3"/>
  <c r="F41" i="3" s="1"/>
  <c r="F53" i="3" s="1"/>
  <c r="F59" i="3" s="1"/>
  <c r="D33" i="3"/>
  <c r="D39" i="3" s="1"/>
  <c r="D51" i="3" s="1"/>
  <c r="J63" i="3"/>
  <c r="J87" i="3" s="1"/>
  <c r="E22" i="7"/>
  <c r="E33" i="7" s="1"/>
  <c r="E44" i="7" s="1"/>
  <c r="J104" i="4"/>
  <c r="I104" i="4"/>
  <c r="H104" i="4"/>
  <c r="G104" i="4"/>
  <c r="F104" i="4"/>
  <c r="J104" i="3"/>
  <c r="E104" i="4"/>
  <c r="G104" i="3"/>
  <c r="G107" i="3" s="1"/>
  <c r="F104" i="3"/>
  <c r="F58" i="3" s="1"/>
  <c r="E104" i="3"/>
  <c r="E107" i="3" s="1"/>
  <c r="D104" i="3"/>
  <c r="D60" i="3" s="1"/>
  <c r="C104" i="3"/>
  <c r="C107" i="3" s="1"/>
  <c r="D104" i="4"/>
  <c r="C104" i="4"/>
  <c r="C58" i="4" s="1"/>
  <c r="H104" i="2"/>
  <c r="H104" i="3"/>
  <c r="H107" i="3" s="1"/>
  <c r="G104" i="2"/>
  <c r="G107" i="2" s="1"/>
  <c r="F104" i="2"/>
  <c r="F60" i="2" s="1"/>
  <c r="E104" i="2"/>
  <c r="E107" i="2" s="1"/>
  <c r="I104" i="2"/>
  <c r="D104" i="2"/>
  <c r="C104" i="2"/>
  <c r="I104" i="3"/>
  <c r="J104" i="2"/>
  <c r="G89" i="2"/>
  <c r="G66" i="2"/>
  <c r="G77" i="2"/>
  <c r="G83" i="2" s="1"/>
  <c r="J60" i="3"/>
  <c r="E66" i="3"/>
  <c r="E89" i="3"/>
  <c r="E77" i="3"/>
  <c r="E83" i="3" s="1"/>
  <c r="E95" i="3" s="1"/>
  <c r="H59" i="4"/>
  <c r="G59" i="3"/>
  <c r="F58" i="2"/>
  <c r="J55" i="3"/>
  <c r="E47" i="2"/>
  <c r="E35" i="2"/>
  <c r="E41" i="2" s="1"/>
  <c r="E53" i="2" s="1"/>
  <c r="I49" i="2"/>
  <c r="I55" i="2" s="1"/>
  <c r="I61" i="2" s="1"/>
  <c r="G63" i="3"/>
  <c r="G49" i="3"/>
  <c r="J51" i="3"/>
  <c r="J57" i="3" s="1"/>
  <c r="F47" i="4"/>
  <c r="F35" i="4"/>
  <c r="F41" i="4" s="1"/>
  <c r="F53" i="4" s="1"/>
  <c r="F59" i="4" s="1"/>
  <c r="F63" i="3"/>
  <c r="F49" i="3"/>
  <c r="I35" i="4"/>
  <c r="I41" i="4" s="1"/>
  <c r="I47" i="4"/>
  <c r="J35" i="4"/>
  <c r="J41" i="4" s="1"/>
  <c r="J53" i="4" s="1"/>
  <c r="I63" i="3"/>
  <c r="I49" i="3"/>
  <c r="I64" i="4"/>
  <c r="I35" i="2"/>
  <c r="I41" i="2" s="1"/>
  <c r="I53" i="2" s="1"/>
  <c r="I63" i="2"/>
  <c r="H34" i="3"/>
  <c r="H40" i="3" s="1"/>
  <c r="H52" i="3" s="1"/>
  <c r="H75" i="3"/>
  <c r="H81" i="3" s="1"/>
  <c r="H93" i="3" s="1"/>
  <c r="D47" i="2"/>
  <c r="D35" i="2"/>
  <c r="D41" i="2" s="1"/>
  <c r="E35" i="3"/>
  <c r="E41" i="3" s="1"/>
  <c r="E53" i="3" s="1"/>
  <c r="E60" i="3"/>
  <c r="C37" i="7"/>
  <c r="C48" i="7" s="1"/>
  <c r="I87" i="4"/>
  <c r="I93" i="4" s="1"/>
  <c r="I99" i="4" s="1"/>
  <c r="J46" i="3"/>
  <c r="F47" i="2"/>
  <c r="F53" i="2" s="1"/>
  <c r="J75" i="3"/>
  <c r="J81" i="3" s="1"/>
  <c r="J93" i="3" s="1"/>
  <c r="J99" i="3" s="1"/>
  <c r="G61" i="4"/>
  <c r="C33" i="7"/>
  <c r="C44" i="7" s="1"/>
  <c r="C64" i="2"/>
  <c r="C75" i="2"/>
  <c r="C81" i="2" s="1"/>
  <c r="H35" i="3"/>
  <c r="H41" i="3" s="1"/>
  <c r="H47" i="3"/>
  <c r="E76" i="3"/>
  <c r="E82" i="3" s="1"/>
  <c r="E88" i="3"/>
  <c r="C33" i="4"/>
  <c r="C39" i="4" s="1"/>
  <c r="C45" i="4"/>
  <c r="F36" i="3"/>
  <c r="F42" i="3" s="1"/>
  <c r="F48" i="3"/>
  <c r="H49" i="3"/>
  <c r="G35" i="2"/>
  <c r="G41" i="2" s="1"/>
  <c r="H65" i="2"/>
  <c r="C38" i="7"/>
  <c r="C49" i="7" s="1"/>
  <c r="C28" i="7"/>
  <c r="J63" i="2"/>
  <c r="J49" i="2"/>
  <c r="J37" i="2"/>
  <c r="J43" i="2" s="1"/>
  <c r="I46" i="3"/>
  <c r="I34" i="3"/>
  <c r="I40" i="3" s="1"/>
  <c r="H64" i="3"/>
  <c r="D33" i="4"/>
  <c r="D39" i="4" s="1"/>
  <c r="D51" i="4" s="1"/>
  <c r="H35" i="2"/>
  <c r="H41" i="2" s="1"/>
  <c r="H53" i="2" s="1"/>
  <c r="C47" i="3"/>
  <c r="C35" i="3"/>
  <c r="C41" i="3" s="1"/>
  <c r="D35" i="3"/>
  <c r="D41" i="3" s="1"/>
  <c r="D53" i="3" s="1"/>
  <c r="D52" i="3"/>
  <c r="D36" i="2"/>
  <c r="D42" i="2" s="1"/>
  <c r="D54" i="2" s="1"/>
  <c r="E49" i="2"/>
  <c r="E63" i="2"/>
  <c r="E37" i="2"/>
  <c r="E43" i="2" s="1"/>
  <c r="E55" i="2" s="1"/>
  <c r="F37" i="3"/>
  <c r="F43" i="3" s="1"/>
  <c r="F57" i="4"/>
  <c r="G52" i="3"/>
  <c r="C47" i="2"/>
  <c r="E36" i="2"/>
  <c r="E42" i="2" s="1"/>
  <c r="E54" i="2" s="1"/>
  <c r="H47" i="2"/>
  <c r="F49" i="2"/>
  <c r="F63" i="2"/>
  <c r="F37" i="2"/>
  <c r="F43" i="2" s="1"/>
  <c r="F55" i="2" s="1"/>
  <c r="G37" i="3"/>
  <c r="G43" i="3" s="1"/>
  <c r="G53" i="4"/>
  <c r="H65" i="4"/>
  <c r="H88" i="4"/>
  <c r="H76" i="4"/>
  <c r="H82" i="4" s="1"/>
  <c r="J64" i="3"/>
  <c r="G47" i="2"/>
  <c r="C87" i="2"/>
  <c r="H37" i="3"/>
  <c r="H43" i="3" s="1"/>
  <c r="H55" i="3" s="1"/>
  <c r="H45" i="3"/>
  <c r="H51" i="3" s="1"/>
  <c r="H57" i="3" s="1"/>
  <c r="J63" i="4"/>
  <c r="J49" i="4"/>
  <c r="J37" i="4"/>
  <c r="J43" i="4" s="1"/>
  <c r="J55" i="4" s="1"/>
  <c r="G37" i="2"/>
  <c r="G43" i="2" s="1"/>
  <c r="G55" i="2" s="1"/>
  <c r="G75" i="2"/>
  <c r="G81" i="2" s="1"/>
  <c r="G93" i="2" s="1"/>
  <c r="I37" i="3"/>
  <c r="I43" i="3" s="1"/>
  <c r="G33" i="4"/>
  <c r="G39" i="4" s="1"/>
  <c r="E36" i="4"/>
  <c r="E42" i="4" s="1"/>
  <c r="E54" i="4" s="1"/>
  <c r="C35" i="7"/>
  <c r="C46" i="7" s="1"/>
  <c r="C34" i="7"/>
  <c r="C45" i="7" s="1"/>
  <c r="H48" i="4"/>
  <c r="H36" i="4"/>
  <c r="H42" i="4" s="1"/>
  <c r="H54" i="4" s="1"/>
  <c r="C49" i="2"/>
  <c r="C55" i="2" s="1"/>
  <c r="G48" i="4"/>
  <c r="G54" i="4" s="1"/>
  <c r="C36" i="7"/>
  <c r="C47" i="7" s="1"/>
  <c r="C34" i="3"/>
  <c r="C40" i="3" s="1"/>
  <c r="C52" i="3" s="1"/>
  <c r="I36" i="3"/>
  <c r="I42" i="3" s="1"/>
  <c r="D46" i="4"/>
  <c r="D34" i="4"/>
  <c r="D40" i="4" s="1"/>
  <c r="D52" i="4" s="1"/>
  <c r="J48" i="4"/>
  <c r="J36" i="4"/>
  <c r="J42" i="4" s="1"/>
  <c r="J54" i="4" s="1"/>
  <c r="J60" i="4" s="1"/>
  <c r="F107" i="4"/>
  <c r="J45" i="4"/>
  <c r="J33" i="4"/>
  <c r="J39" i="4" s="1"/>
  <c r="E46" i="2"/>
  <c r="E52" i="2" s="1"/>
  <c r="G48" i="3"/>
  <c r="E46" i="4"/>
  <c r="E34" i="4"/>
  <c r="E40" i="4" s="1"/>
  <c r="E52" i="4" s="1"/>
  <c r="C63" i="4"/>
  <c r="C49" i="4"/>
  <c r="C37" i="4"/>
  <c r="C43" i="4" s="1"/>
  <c r="C55" i="4" s="1"/>
  <c r="D37" i="7"/>
  <c r="D48" i="7" s="1"/>
  <c r="D27" i="7"/>
  <c r="E16" i="4"/>
  <c r="E107" i="4" s="1"/>
  <c r="I16" i="3"/>
  <c r="I57" i="3" s="1"/>
  <c r="D16" i="4"/>
  <c r="D60" i="4" s="1"/>
  <c r="H16" i="3"/>
  <c r="C16" i="4"/>
  <c r="J16" i="4"/>
  <c r="J58" i="4" s="1"/>
  <c r="I16" i="4"/>
  <c r="I107" i="4" s="1"/>
  <c r="G16" i="4"/>
  <c r="G107" i="4" s="1"/>
  <c r="D34" i="2"/>
  <c r="D40" i="2" s="1"/>
  <c r="D52" i="2" s="1"/>
  <c r="J36" i="2"/>
  <c r="J42" i="2" s="1"/>
  <c r="J54" i="2" s="1"/>
  <c r="J60" i="2" s="1"/>
  <c r="E34" i="3"/>
  <c r="E40" i="3" s="1"/>
  <c r="E52" i="3" s="1"/>
  <c r="E58" i="3" s="1"/>
  <c r="C37" i="3"/>
  <c r="C43" i="3" s="1"/>
  <c r="C55" i="3" s="1"/>
  <c r="C63" i="3"/>
  <c r="F34" i="4"/>
  <c r="F40" i="4" s="1"/>
  <c r="F52" i="4" s="1"/>
  <c r="D37" i="4"/>
  <c r="D43" i="4" s="1"/>
  <c r="D55" i="4" s="1"/>
  <c r="D63" i="4"/>
  <c r="E37" i="7"/>
  <c r="E48" i="7" s="1"/>
  <c r="E27" i="7"/>
  <c r="I48" i="3"/>
  <c r="D63" i="3"/>
  <c r="E63" i="4"/>
  <c r="E49" i="4"/>
  <c r="E55" i="4" s="1"/>
  <c r="E75" i="3"/>
  <c r="E81" i="3" s="1"/>
  <c r="E93" i="3" s="1"/>
  <c r="E99" i="3" s="1"/>
  <c r="H34" i="4"/>
  <c r="H40" i="4" s="1"/>
  <c r="H52" i="4" s="1"/>
  <c r="H58" i="4" s="1"/>
  <c r="F37" i="4"/>
  <c r="F43" i="4" s="1"/>
  <c r="F55" i="4" s="1"/>
  <c r="F61" i="4" s="1"/>
  <c r="G45" i="4"/>
  <c r="J107" i="4"/>
  <c r="D25" i="7"/>
  <c r="D36" i="7" s="1"/>
  <c r="D47" i="7" s="1"/>
  <c r="E25" i="7"/>
  <c r="E36" i="7" s="1"/>
  <c r="E47" i="7" s="1"/>
  <c r="I60" i="4" l="1"/>
  <c r="F59" i="2"/>
  <c r="F87" i="4"/>
  <c r="F93" i="4" s="1"/>
  <c r="F99" i="4" s="1"/>
  <c r="H94" i="4"/>
  <c r="H100" i="4" s="1"/>
  <c r="E59" i="2"/>
  <c r="H61" i="3"/>
  <c r="C107" i="4"/>
  <c r="D75" i="2"/>
  <c r="D81" i="2" s="1"/>
  <c r="D93" i="2" s="1"/>
  <c r="J61" i="3"/>
  <c r="H93" i="4"/>
  <c r="H99" i="4" s="1"/>
  <c r="D64" i="2"/>
  <c r="D88" i="2" s="1"/>
  <c r="E61" i="4"/>
  <c r="J107" i="2"/>
  <c r="J52" i="3"/>
  <c r="J58" i="3" s="1"/>
  <c r="G60" i="4"/>
  <c r="H60" i="4"/>
  <c r="F55" i="3"/>
  <c r="F61" i="3" s="1"/>
  <c r="E61" i="2"/>
  <c r="H99" i="2"/>
  <c r="D59" i="4"/>
  <c r="D58" i="3"/>
  <c r="F107" i="3"/>
  <c r="C61" i="4"/>
  <c r="J59" i="3"/>
  <c r="G75" i="4"/>
  <c r="G81" i="4" s="1"/>
  <c r="G64" i="4"/>
  <c r="G87" i="4"/>
  <c r="H58" i="3"/>
  <c r="C57" i="2"/>
  <c r="G55" i="3"/>
  <c r="G61" i="3" s="1"/>
  <c r="H59" i="2"/>
  <c r="J59" i="2"/>
  <c r="I57" i="4"/>
  <c r="I61" i="4"/>
  <c r="B38" i="7"/>
  <c r="B49" i="7" s="1"/>
  <c r="B28" i="7"/>
  <c r="E61" i="3"/>
  <c r="D59" i="3"/>
  <c r="H61" i="4"/>
  <c r="G51" i="4"/>
  <c r="G57" i="4" s="1"/>
  <c r="F58" i="4"/>
  <c r="C93" i="2"/>
  <c r="C99" i="2" s="1"/>
  <c r="C107" i="2"/>
  <c r="J59" i="4"/>
  <c r="D61" i="2"/>
  <c r="F64" i="4"/>
  <c r="G59" i="4"/>
  <c r="D57" i="4"/>
  <c r="D61" i="4"/>
  <c r="H53" i="3"/>
  <c r="H59" i="3" s="1"/>
  <c r="G54" i="3"/>
  <c r="G60" i="3" s="1"/>
  <c r="E58" i="2"/>
  <c r="I52" i="3"/>
  <c r="I58" i="3" s="1"/>
  <c r="I58" i="2"/>
  <c r="D57" i="3"/>
  <c r="G64" i="3"/>
  <c r="G87" i="3"/>
  <c r="G75" i="3"/>
  <c r="G81" i="3" s="1"/>
  <c r="C29" i="7"/>
  <c r="C39" i="7"/>
  <c r="C50" i="7" s="1"/>
  <c r="H66" i="4"/>
  <c r="H89" i="4"/>
  <c r="H77" i="4"/>
  <c r="H83" i="4" s="1"/>
  <c r="H95" i="4" s="1"/>
  <c r="H101" i="4" s="1"/>
  <c r="F61" i="2"/>
  <c r="I107" i="2"/>
  <c r="C64" i="3"/>
  <c r="C87" i="3"/>
  <c r="C75" i="3"/>
  <c r="C81" i="3" s="1"/>
  <c r="C93" i="3" s="1"/>
  <c r="C99" i="3" s="1"/>
  <c r="F75" i="2"/>
  <c r="F81" i="2" s="1"/>
  <c r="F64" i="2"/>
  <c r="F87" i="2"/>
  <c r="C53" i="3"/>
  <c r="C59" i="3" s="1"/>
  <c r="G60" i="2"/>
  <c r="C59" i="4"/>
  <c r="H66" i="2"/>
  <c r="H77" i="2"/>
  <c r="H83" i="2" s="1"/>
  <c r="H89" i="2"/>
  <c r="C64" i="4"/>
  <c r="C75" i="4"/>
  <c r="C81" i="4" s="1"/>
  <c r="C87" i="4"/>
  <c r="D99" i="2"/>
  <c r="I53" i="4"/>
  <c r="I59" i="4" s="1"/>
  <c r="I60" i="2"/>
  <c r="H107" i="2"/>
  <c r="C58" i="2"/>
  <c r="D64" i="3"/>
  <c r="D75" i="3"/>
  <c r="D81" i="3" s="1"/>
  <c r="D87" i="3"/>
  <c r="C60" i="3"/>
  <c r="C61" i="2"/>
  <c r="J88" i="3"/>
  <c r="J65" i="3"/>
  <c r="J76" i="3"/>
  <c r="J82" i="3" s="1"/>
  <c r="J94" i="3" s="1"/>
  <c r="J100" i="3" s="1"/>
  <c r="D58" i="2"/>
  <c r="E60" i="2"/>
  <c r="H88" i="3"/>
  <c r="H65" i="3"/>
  <c r="H76" i="3"/>
  <c r="H82" i="3" s="1"/>
  <c r="F87" i="3"/>
  <c r="F75" i="3"/>
  <c r="F81" i="3" s="1"/>
  <c r="F93" i="3" s="1"/>
  <c r="F99" i="3" s="1"/>
  <c r="F64" i="3"/>
  <c r="H58" i="2"/>
  <c r="G95" i="2"/>
  <c r="G101" i="2" s="1"/>
  <c r="C51" i="4"/>
  <c r="C57" i="4" s="1"/>
  <c r="E94" i="3"/>
  <c r="E100" i="3" s="1"/>
  <c r="E59" i="3"/>
  <c r="E57" i="4"/>
  <c r="G67" i="2"/>
  <c r="G78" i="2"/>
  <c r="G84" i="2" s="1"/>
  <c r="G90" i="2"/>
  <c r="D60" i="2"/>
  <c r="D64" i="4"/>
  <c r="D87" i="4"/>
  <c r="D75" i="4"/>
  <c r="D81" i="4" s="1"/>
  <c r="D93" i="4" s="1"/>
  <c r="D99" i="4" s="1"/>
  <c r="F54" i="3"/>
  <c r="F60" i="3" s="1"/>
  <c r="E59" i="4"/>
  <c r="J51" i="4"/>
  <c r="J57" i="4" s="1"/>
  <c r="C60" i="4"/>
  <c r="D58" i="4"/>
  <c r="G58" i="3"/>
  <c r="G58" i="2"/>
  <c r="I59" i="3"/>
  <c r="E87" i="4"/>
  <c r="E75" i="4"/>
  <c r="E81" i="4" s="1"/>
  <c r="E93" i="4" s="1"/>
  <c r="E99" i="4" s="1"/>
  <c r="E64" i="4"/>
  <c r="E87" i="2"/>
  <c r="E75" i="2"/>
  <c r="E81" i="2" s="1"/>
  <c r="E64" i="2"/>
  <c r="C59" i="2"/>
  <c r="I59" i="2"/>
  <c r="I107" i="3"/>
  <c r="E58" i="4"/>
  <c r="G61" i="2"/>
  <c r="D53" i="2"/>
  <c r="D59" i="2" s="1"/>
  <c r="E101" i="3"/>
  <c r="G53" i="2"/>
  <c r="G59" i="2" s="1"/>
  <c r="I54" i="3"/>
  <c r="I60" i="3" s="1"/>
  <c r="C60" i="2"/>
  <c r="C88" i="2"/>
  <c r="C65" i="2"/>
  <c r="C76" i="2"/>
  <c r="C82" i="2" s="1"/>
  <c r="C94" i="2" s="1"/>
  <c r="C100" i="2" s="1"/>
  <c r="I65" i="4"/>
  <c r="I88" i="4"/>
  <c r="I76" i="4"/>
  <c r="I82" i="4" s="1"/>
  <c r="I94" i="4" s="1"/>
  <c r="I100" i="4" s="1"/>
  <c r="C61" i="3"/>
  <c r="J61" i="4"/>
  <c r="C58" i="3"/>
  <c r="E67" i="3"/>
  <c r="E78" i="3"/>
  <c r="E84" i="3" s="1"/>
  <c r="E90" i="3"/>
  <c r="F65" i="4"/>
  <c r="F76" i="4"/>
  <c r="F82" i="4" s="1"/>
  <c r="F88" i="4"/>
  <c r="J64" i="2"/>
  <c r="J87" i="2"/>
  <c r="J75" i="2"/>
  <c r="J81" i="2" s="1"/>
  <c r="J93" i="2" s="1"/>
  <c r="J99" i="2" s="1"/>
  <c r="D38" i="7"/>
  <c r="D49" i="7" s="1"/>
  <c r="D28" i="7"/>
  <c r="I64" i="2"/>
  <c r="I87" i="2"/>
  <c r="I75" i="2"/>
  <c r="I81" i="2" s="1"/>
  <c r="E38" i="7"/>
  <c r="E49" i="7" s="1"/>
  <c r="E28" i="7"/>
  <c r="E60" i="4"/>
  <c r="I87" i="3"/>
  <c r="I64" i="3"/>
  <c r="I75" i="3"/>
  <c r="I81" i="3" s="1"/>
  <c r="I55" i="3"/>
  <c r="I61" i="3" s="1"/>
  <c r="G99" i="2"/>
  <c r="H60" i="3"/>
  <c r="J75" i="4"/>
  <c r="J81" i="4" s="1"/>
  <c r="J87" i="4"/>
  <c r="J64" i="4"/>
  <c r="J55" i="2"/>
  <c r="J61" i="2" s="1"/>
  <c r="H99" i="3"/>
  <c r="G93" i="3" l="1"/>
  <c r="G99" i="3" s="1"/>
  <c r="B39" i="7"/>
  <c r="B50" i="7" s="1"/>
  <c r="B29" i="7"/>
  <c r="G93" i="4"/>
  <c r="G99" i="4" s="1"/>
  <c r="D65" i="2"/>
  <c r="G65" i="4"/>
  <c r="G76" i="4"/>
  <c r="G82" i="4" s="1"/>
  <c r="G88" i="4"/>
  <c r="D76" i="2"/>
  <c r="D82" i="2" s="1"/>
  <c r="D94" i="2" s="1"/>
  <c r="D100" i="2" s="1"/>
  <c r="J93" i="4"/>
  <c r="J99" i="4" s="1"/>
  <c r="I93" i="3"/>
  <c r="I99" i="3" s="1"/>
  <c r="G96" i="2"/>
  <c r="G102" i="2" s="1"/>
  <c r="C88" i="3"/>
  <c r="C76" i="3"/>
  <c r="C82" i="3" s="1"/>
  <c r="C94" i="3" s="1"/>
  <c r="C100" i="3" s="1"/>
  <c r="C65" i="3"/>
  <c r="C40" i="7"/>
  <c r="C51" i="7" s="1"/>
  <c r="C30" i="7"/>
  <c r="I66" i="4"/>
  <c r="I89" i="4"/>
  <c r="I77" i="4"/>
  <c r="I83" i="4" s="1"/>
  <c r="D93" i="3"/>
  <c r="D99" i="3" s="1"/>
  <c r="H78" i="4"/>
  <c r="H84" i="4" s="1"/>
  <c r="H90" i="4"/>
  <c r="H67" i="4"/>
  <c r="J76" i="2"/>
  <c r="J82" i="2" s="1"/>
  <c r="J88" i="2"/>
  <c r="J65" i="2"/>
  <c r="C93" i="4"/>
  <c r="C99" i="4" s="1"/>
  <c r="F76" i="3"/>
  <c r="F82" i="3" s="1"/>
  <c r="F88" i="3"/>
  <c r="F65" i="3"/>
  <c r="F77" i="4"/>
  <c r="F83" i="4" s="1"/>
  <c r="F66" i="4"/>
  <c r="F89" i="4"/>
  <c r="H94" i="3"/>
  <c r="H100" i="3" s="1"/>
  <c r="H95" i="2"/>
  <c r="H101" i="2" s="1"/>
  <c r="D29" i="7"/>
  <c r="D39" i="7"/>
  <c r="D50" i="7" s="1"/>
  <c r="H67" i="2"/>
  <c r="H90" i="2"/>
  <c r="H78" i="2"/>
  <c r="H84" i="2" s="1"/>
  <c r="H96" i="2" s="1"/>
  <c r="H102" i="2" s="1"/>
  <c r="E79" i="3"/>
  <c r="E85" i="3" s="1"/>
  <c r="E91" i="3"/>
  <c r="D76" i="4"/>
  <c r="D82" i="4" s="1"/>
  <c r="D88" i="4"/>
  <c r="D65" i="4"/>
  <c r="J88" i="4"/>
  <c r="J76" i="4"/>
  <c r="J82" i="4" s="1"/>
  <c r="J94" i="4" s="1"/>
  <c r="J100" i="4" s="1"/>
  <c r="J65" i="4"/>
  <c r="I88" i="2"/>
  <c r="I76" i="2"/>
  <c r="I82" i="2" s="1"/>
  <c r="I65" i="2"/>
  <c r="C76" i="4"/>
  <c r="C82" i="4" s="1"/>
  <c r="C65" i="4"/>
  <c r="C88" i="4"/>
  <c r="E96" i="3"/>
  <c r="E102" i="3" s="1"/>
  <c r="F94" i="4"/>
  <c r="F100" i="4" s="1"/>
  <c r="I76" i="3"/>
  <c r="I82" i="3" s="1"/>
  <c r="I88" i="3"/>
  <c r="I65" i="3"/>
  <c r="D88" i="3"/>
  <c r="D76" i="3"/>
  <c r="D82" i="3" s="1"/>
  <c r="D65" i="3"/>
  <c r="D89" i="2"/>
  <c r="D77" i="2"/>
  <c r="D83" i="2" s="1"/>
  <c r="D95" i="2" s="1"/>
  <c r="D101" i="2" s="1"/>
  <c r="D66" i="2"/>
  <c r="F65" i="2"/>
  <c r="F76" i="2"/>
  <c r="F82" i="2" s="1"/>
  <c r="F88" i="2"/>
  <c r="E93" i="2"/>
  <c r="E99" i="2" s="1"/>
  <c r="E76" i="4"/>
  <c r="E82" i="4" s="1"/>
  <c r="E88" i="4"/>
  <c r="E65" i="4"/>
  <c r="J66" i="3"/>
  <c r="J77" i="3"/>
  <c r="J83" i="3" s="1"/>
  <c r="J89" i="3"/>
  <c r="G79" i="2"/>
  <c r="G85" i="2" s="1"/>
  <c r="G91" i="2"/>
  <c r="I93" i="2"/>
  <c r="I99" i="2" s="1"/>
  <c r="C77" i="2"/>
  <c r="C83" i="2" s="1"/>
  <c r="C89" i="2"/>
  <c r="C66" i="2"/>
  <c r="G76" i="3"/>
  <c r="G82" i="3" s="1"/>
  <c r="G88" i="3"/>
  <c r="G65" i="3"/>
  <c r="H66" i="3"/>
  <c r="H77" i="3"/>
  <c r="H83" i="3" s="1"/>
  <c r="H89" i="3"/>
  <c r="F93" i="2"/>
  <c r="F99" i="2" s="1"/>
  <c r="E29" i="7"/>
  <c r="E39" i="7"/>
  <c r="E50" i="7" s="1"/>
  <c r="E65" i="2"/>
  <c r="E76" i="2"/>
  <c r="E82" i="2" s="1"/>
  <c r="E88" i="2"/>
  <c r="I94" i="3" l="1"/>
  <c r="I100" i="3" s="1"/>
  <c r="C94" i="4"/>
  <c r="C100" i="4" s="1"/>
  <c r="G97" i="2"/>
  <c r="G103" i="2" s="1"/>
  <c r="G105" i="2" s="1"/>
  <c r="G109" i="2" s="1"/>
  <c r="H95" i="3"/>
  <c r="H101" i="3" s="1"/>
  <c r="E94" i="2"/>
  <c r="E100" i="2" s="1"/>
  <c r="G94" i="4"/>
  <c r="G100" i="4" s="1"/>
  <c r="B30" i="7"/>
  <c r="B40" i="7"/>
  <c r="B51" i="7" s="1"/>
  <c r="G77" i="4"/>
  <c r="G83" i="4" s="1"/>
  <c r="G66" i="4"/>
  <c r="G89" i="4"/>
  <c r="D94" i="3"/>
  <c r="D100" i="3" s="1"/>
  <c r="D78" i="2"/>
  <c r="D84" i="2" s="1"/>
  <c r="D67" i="2"/>
  <c r="D90" i="2"/>
  <c r="C66" i="3"/>
  <c r="C77" i="3"/>
  <c r="C83" i="3" s="1"/>
  <c r="C89" i="3"/>
  <c r="H79" i="2"/>
  <c r="H85" i="2" s="1"/>
  <c r="H91" i="2"/>
  <c r="E30" i="7"/>
  <c r="E40" i="7"/>
  <c r="E51" i="7" s="1"/>
  <c r="C31" i="7"/>
  <c r="C42" i="7" s="1"/>
  <c r="C41" i="7"/>
  <c r="C52" i="7" s="1"/>
  <c r="G89" i="3"/>
  <c r="G77" i="3"/>
  <c r="G83" i="3" s="1"/>
  <c r="G66" i="3"/>
  <c r="E94" i="4"/>
  <c r="E100" i="4" s="1"/>
  <c r="D30" i="7"/>
  <c r="D40" i="7"/>
  <c r="D51" i="7" s="1"/>
  <c r="I94" i="2"/>
  <c r="I100" i="2" s="1"/>
  <c r="F78" i="4"/>
  <c r="F84" i="4" s="1"/>
  <c r="F90" i="4"/>
  <c r="F67" i="4"/>
  <c r="G94" i="3"/>
  <c r="G100" i="3" s="1"/>
  <c r="D94" i="4"/>
  <c r="D100" i="4" s="1"/>
  <c r="C90" i="2"/>
  <c r="C78" i="2"/>
  <c r="C84" i="2" s="1"/>
  <c r="C96" i="2" s="1"/>
  <c r="C102" i="2" s="1"/>
  <c r="C67" i="2"/>
  <c r="J89" i="2"/>
  <c r="J77" i="2"/>
  <c r="J83" i="2" s="1"/>
  <c r="J66" i="2"/>
  <c r="J94" i="2"/>
  <c r="J100" i="2" s="1"/>
  <c r="I66" i="2"/>
  <c r="I77" i="2"/>
  <c r="I83" i="2" s="1"/>
  <c r="I89" i="2"/>
  <c r="F89" i="2"/>
  <c r="F66" i="2"/>
  <c r="F77" i="2"/>
  <c r="F83" i="2" s="1"/>
  <c r="D66" i="3"/>
  <c r="D89" i="3"/>
  <c r="D77" i="3"/>
  <c r="D83" i="3" s="1"/>
  <c r="D95" i="3" s="1"/>
  <c r="D101" i="3" s="1"/>
  <c r="E89" i="2"/>
  <c r="E66" i="2"/>
  <c r="E77" i="2"/>
  <c r="E83" i="2" s="1"/>
  <c r="I95" i="4"/>
  <c r="I101" i="4" s="1"/>
  <c r="J66" i="4"/>
  <c r="J89" i="4"/>
  <c r="J77" i="4"/>
  <c r="J83" i="4" s="1"/>
  <c r="J95" i="4" s="1"/>
  <c r="J101" i="4" s="1"/>
  <c r="I66" i="3"/>
  <c r="I89" i="3"/>
  <c r="I77" i="3"/>
  <c r="I83" i="3" s="1"/>
  <c r="E97" i="3"/>
  <c r="E103" i="3" s="1"/>
  <c r="E105" i="3" s="1"/>
  <c r="E109" i="3" s="1"/>
  <c r="H91" i="4"/>
  <c r="H79" i="4"/>
  <c r="H85" i="4" s="1"/>
  <c r="I78" i="4"/>
  <c r="I84" i="4" s="1"/>
  <c r="I90" i="4"/>
  <c r="I67" i="4"/>
  <c r="F94" i="2"/>
  <c r="F100" i="2" s="1"/>
  <c r="C95" i="2"/>
  <c r="C101" i="2" s="1"/>
  <c r="H67" i="3"/>
  <c r="H78" i="3"/>
  <c r="H84" i="3" s="1"/>
  <c r="H90" i="3"/>
  <c r="F95" i="4"/>
  <c r="F101" i="4" s="1"/>
  <c r="F89" i="3"/>
  <c r="F77" i="3"/>
  <c r="F83" i="3" s="1"/>
  <c r="F95" i="3" s="1"/>
  <c r="F101" i="3" s="1"/>
  <c r="F66" i="3"/>
  <c r="F94" i="3"/>
  <c r="F100" i="3" s="1"/>
  <c r="D89" i="4"/>
  <c r="D77" i="4"/>
  <c r="D83" i="4" s="1"/>
  <c r="D66" i="4"/>
  <c r="J95" i="3"/>
  <c r="J101" i="3" s="1"/>
  <c r="J78" i="3"/>
  <c r="J84" i="3" s="1"/>
  <c r="J90" i="3"/>
  <c r="J67" i="3"/>
  <c r="E66" i="4"/>
  <c r="E89" i="4"/>
  <c r="E77" i="4"/>
  <c r="E83" i="4" s="1"/>
  <c r="C89" i="4"/>
  <c r="C77" i="4"/>
  <c r="C83" i="4" s="1"/>
  <c r="C95" i="4" s="1"/>
  <c r="C101" i="4" s="1"/>
  <c r="C66" i="4"/>
  <c r="H96" i="4"/>
  <c r="H102" i="4" s="1"/>
  <c r="E95" i="4" l="1"/>
  <c r="E101" i="4" s="1"/>
  <c r="G95" i="3"/>
  <c r="G101" i="3" s="1"/>
  <c r="C95" i="3"/>
  <c r="C101" i="3" s="1"/>
  <c r="G67" i="4"/>
  <c r="G90" i="4"/>
  <c r="G78" i="4"/>
  <c r="G84" i="4" s="1"/>
  <c r="G96" i="4" s="1"/>
  <c r="G102" i="4" s="1"/>
  <c r="G95" i="4"/>
  <c r="G101" i="4" s="1"/>
  <c r="B41" i="7"/>
  <c r="B52" i="7" s="1"/>
  <c r="B31" i="7"/>
  <c r="B42" i="7" s="1"/>
  <c r="E95" i="2"/>
  <c r="E101" i="2" s="1"/>
  <c r="J96" i="3"/>
  <c r="J102" i="3" s="1"/>
  <c r="I67" i="2"/>
  <c r="I90" i="2"/>
  <c r="I78" i="2"/>
  <c r="I84" i="2" s="1"/>
  <c r="I96" i="2" s="1"/>
  <c r="I102" i="2" s="1"/>
  <c r="H97" i="4"/>
  <c r="H103" i="4" s="1"/>
  <c r="H105" i="4" s="1"/>
  <c r="H109" i="4" s="1"/>
  <c r="J95" i="2"/>
  <c r="J101" i="2" s="1"/>
  <c r="H97" i="2"/>
  <c r="H103" i="2" s="1"/>
  <c r="H105" i="2" s="1"/>
  <c r="H109" i="2" s="1"/>
  <c r="C91" i="2"/>
  <c r="C79" i="2"/>
  <c r="C85" i="2" s="1"/>
  <c r="I95" i="2"/>
  <c r="I101" i="2" s="1"/>
  <c r="E31" i="7"/>
  <c r="E42" i="7" s="1"/>
  <c r="E41" i="7"/>
  <c r="E52" i="7" s="1"/>
  <c r="C90" i="3"/>
  <c r="C67" i="3"/>
  <c r="C78" i="3"/>
  <c r="C84" i="3" s="1"/>
  <c r="C96" i="3" s="1"/>
  <c r="C102" i="3" s="1"/>
  <c r="D95" i="4"/>
  <c r="D101" i="4" s="1"/>
  <c r="F96" i="4"/>
  <c r="F102" i="4" s="1"/>
  <c r="I95" i="3"/>
  <c r="I101" i="3" s="1"/>
  <c r="F67" i="3"/>
  <c r="F78" i="3"/>
  <c r="F84" i="3" s="1"/>
  <c r="F90" i="3"/>
  <c r="J78" i="4"/>
  <c r="J84" i="4" s="1"/>
  <c r="J90" i="4"/>
  <c r="J67" i="4"/>
  <c r="F91" i="4"/>
  <c r="F79" i="4"/>
  <c r="F85" i="4" s="1"/>
  <c r="F97" i="4" s="1"/>
  <c r="F103" i="4" s="1"/>
  <c r="C55" i="7"/>
  <c r="C56" i="7" s="1"/>
  <c r="C53" i="7"/>
  <c r="C54" i="7" s="1"/>
  <c r="D67" i="4"/>
  <c r="D90" i="4"/>
  <c r="D78" i="4"/>
  <c r="D84" i="4" s="1"/>
  <c r="D96" i="4" s="1"/>
  <c r="D102" i="4" s="1"/>
  <c r="I67" i="3"/>
  <c r="I78" i="3"/>
  <c r="I84" i="3" s="1"/>
  <c r="I90" i="3"/>
  <c r="H96" i="3"/>
  <c r="H102" i="3" s="1"/>
  <c r="H91" i="3"/>
  <c r="H79" i="3"/>
  <c r="H85" i="3" s="1"/>
  <c r="E78" i="2"/>
  <c r="E84" i="2" s="1"/>
  <c r="E67" i="2"/>
  <c r="E90" i="2"/>
  <c r="I91" i="4"/>
  <c r="I79" i="4"/>
  <c r="I85" i="4" s="1"/>
  <c r="I97" i="4" s="1"/>
  <c r="I103" i="4" s="1"/>
  <c r="D31" i="7"/>
  <c r="D42" i="7" s="1"/>
  <c r="D41" i="7"/>
  <c r="D52" i="7" s="1"/>
  <c r="E78" i="4"/>
  <c r="E84" i="4" s="1"/>
  <c r="E90" i="4"/>
  <c r="E67" i="4"/>
  <c r="F78" i="2"/>
  <c r="F84" i="2" s="1"/>
  <c r="F67" i="2"/>
  <c r="F90" i="2"/>
  <c r="J91" i="3"/>
  <c r="J79" i="3"/>
  <c r="J85" i="3" s="1"/>
  <c r="J97" i="3" s="1"/>
  <c r="J103" i="3" s="1"/>
  <c r="J105" i="3" s="1"/>
  <c r="J109" i="3" s="1"/>
  <c r="J67" i="2"/>
  <c r="J78" i="2"/>
  <c r="J84" i="2" s="1"/>
  <c r="J90" i="2"/>
  <c r="D96" i="2"/>
  <c r="D102" i="2" s="1"/>
  <c r="D91" i="2"/>
  <c r="D79" i="2"/>
  <c r="D85" i="2" s="1"/>
  <c r="C90" i="4"/>
  <c r="C67" i="4"/>
  <c r="C78" i="4"/>
  <c r="C84" i="4" s="1"/>
  <c r="C96" i="4" s="1"/>
  <c r="C102" i="4" s="1"/>
  <c r="D90" i="3"/>
  <c r="D78" i="3"/>
  <c r="D84" i="3" s="1"/>
  <c r="D67" i="3"/>
  <c r="I96" i="4"/>
  <c r="I102" i="4" s="1"/>
  <c r="I105" i="4" s="1"/>
  <c r="I109" i="4" s="1"/>
  <c r="F95" i="2"/>
  <c r="F101" i="2" s="1"/>
  <c r="G90" i="3"/>
  <c r="G67" i="3"/>
  <c r="G78" i="3"/>
  <c r="G84" i="3" s="1"/>
  <c r="G96" i="3" s="1"/>
  <c r="G102" i="3" s="1"/>
  <c r="C97" i="2" l="1"/>
  <c r="C103" i="2" s="1"/>
  <c r="C105" i="2" s="1"/>
  <c r="C109" i="2" s="1"/>
  <c r="D96" i="3"/>
  <c r="D102" i="3" s="1"/>
  <c r="G79" i="4"/>
  <c r="G85" i="4" s="1"/>
  <c r="G91" i="4"/>
  <c r="B53" i="7"/>
  <c r="B54" i="7" s="1"/>
  <c r="B55" i="7"/>
  <c r="B56" i="7" s="1"/>
  <c r="F105" i="4"/>
  <c r="F109" i="4" s="1"/>
  <c r="J96" i="2"/>
  <c r="J102" i="2" s="1"/>
  <c r="J91" i="2"/>
  <c r="J79" i="2"/>
  <c r="J85" i="2" s="1"/>
  <c r="J97" i="2" s="1"/>
  <c r="J103" i="2" s="1"/>
  <c r="J105" i="2" s="1"/>
  <c r="J109" i="2" s="1"/>
  <c r="E55" i="7"/>
  <c r="E56" i="7" s="1"/>
  <c r="E53" i="7"/>
  <c r="E54" i="7" s="1"/>
  <c r="F79" i="2"/>
  <c r="F85" i="2" s="1"/>
  <c r="F91" i="2"/>
  <c r="G79" i="3"/>
  <c r="G85" i="3" s="1"/>
  <c r="G91" i="3"/>
  <c r="C79" i="3"/>
  <c r="C85" i="3" s="1"/>
  <c r="C91" i="3"/>
  <c r="D91" i="4"/>
  <c r="D79" i="4"/>
  <c r="D85" i="4" s="1"/>
  <c r="D97" i="4" s="1"/>
  <c r="C57" i="7"/>
  <c r="C58" i="7" s="1"/>
  <c r="C59" i="7" s="1"/>
  <c r="C60" i="7" s="1"/>
  <c r="E91" i="4"/>
  <c r="E79" i="4"/>
  <c r="E85" i="4" s="1"/>
  <c r="E97" i="4" s="1"/>
  <c r="E103" i="4" s="1"/>
  <c r="D79" i="3"/>
  <c r="D85" i="3" s="1"/>
  <c r="D91" i="3"/>
  <c r="F96" i="3"/>
  <c r="F102" i="3" s="1"/>
  <c r="I79" i="2"/>
  <c r="I85" i="2" s="1"/>
  <c r="I91" i="2"/>
  <c r="I79" i="3"/>
  <c r="I85" i="3" s="1"/>
  <c r="I91" i="3"/>
  <c r="F96" i="2"/>
  <c r="F102" i="2" s="1"/>
  <c r="E96" i="4"/>
  <c r="E102" i="4" s="1"/>
  <c r="D55" i="7"/>
  <c r="D56" i="7" s="1"/>
  <c r="D53" i="7"/>
  <c r="D54" i="7" s="1"/>
  <c r="D57" i="7" s="1"/>
  <c r="D58" i="7" s="1"/>
  <c r="D59" i="7" s="1"/>
  <c r="D60" i="7" s="1"/>
  <c r="H97" i="3"/>
  <c r="H103" i="3" s="1"/>
  <c r="H105" i="3" s="1"/>
  <c r="H109" i="3" s="1"/>
  <c r="I96" i="3"/>
  <c r="I102" i="3" s="1"/>
  <c r="J91" i="4"/>
  <c r="J79" i="4"/>
  <c r="J85" i="4" s="1"/>
  <c r="J96" i="4"/>
  <c r="J102" i="4" s="1"/>
  <c r="C79" i="4"/>
  <c r="C85" i="4" s="1"/>
  <c r="C91" i="4"/>
  <c r="E79" i="2"/>
  <c r="E85" i="2" s="1"/>
  <c r="E91" i="2"/>
  <c r="F91" i="3"/>
  <c r="F79" i="3"/>
  <c r="F85" i="3" s="1"/>
  <c r="F97" i="3" s="1"/>
  <c r="F103" i="3" s="1"/>
  <c r="D97" i="2"/>
  <c r="E96" i="2"/>
  <c r="E102" i="2" s="1"/>
  <c r="E57" i="7" l="1"/>
  <c r="E58" i="7" s="1"/>
  <c r="E59" i="7" s="1"/>
  <c r="E60" i="7" s="1"/>
  <c r="I97" i="2"/>
  <c r="I103" i="2" s="1"/>
  <c r="I105" i="2" s="1"/>
  <c r="I109" i="2" s="1"/>
  <c r="B57" i="7"/>
  <c r="B58" i="7" s="1"/>
  <c r="B59" i="7" s="1"/>
  <c r="B60" i="7" s="1"/>
  <c r="G97" i="4"/>
  <c r="G103" i="4" s="1"/>
  <c r="G105" i="4" s="1"/>
  <c r="G109" i="4" s="1"/>
  <c r="F105" i="3"/>
  <c r="F109" i="3" s="1"/>
  <c r="D103" i="2"/>
  <c r="D105" i="2" s="1"/>
  <c r="D106" i="2"/>
  <c r="D107" i="2" s="1"/>
  <c r="D106" i="4"/>
  <c r="D107" i="4" s="1"/>
  <c r="D103" i="4"/>
  <c r="D105" i="4" s="1"/>
  <c r="E97" i="2"/>
  <c r="E103" i="2" s="1"/>
  <c r="E105" i="2" s="1"/>
  <c r="E109" i="2" s="1"/>
  <c r="C97" i="4"/>
  <c r="C103" i="4" s="1"/>
  <c r="C105" i="4" s="1"/>
  <c r="C109" i="4" s="1"/>
  <c r="J97" i="4"/>
  <c r="J103" i="4" s="1"/>
  <c r="J105" i="4" s="1"/>
  <c r="J109" i="4" s="1"/>
  <c r="E105" i="4"/>
  <c r="E109" i="4" s="1"/>
  <c r="C97" i="3"/>
  <c r="C103" i="3" s="1"/>
  <c r="C105" i="3" s="1"/>
  <c r="C109" i="3" s="1"/>
  <c r="G97" i="3"/>
  <c r="G103" i="3" s="1"/>
  <c r="G105" i="3" s="1"/>
  <c r="G109" i="3" s="1"/>
  <c r="F97" i="2"/>
  <c r="F103" i="2" s="1"/>
  <c r="F105" i="2" s="1"/>
  <c r="F109" i="2" s="1"/>
  <c r="D97" i="3"/>
  <c r="I97" i="3"/>
  <c r="I103" i="3" s="1"/>
  <c r="I105" i="3" s="1"/>
  <c r="I109" i="3" s="1"/>
  <c r="D106" i="3" l="1"/>
  <c r="D107" i="3" s="1"/>
  <c r="D103" i="3"/>
  <c r="D105" i="3" s="1"/>
  <c r="D109" i="3" s="1"/>
  <c r="K110" i="3" s="1"/>
  <c r="K110" i="4"/>
  <c r="D109" i="4"/>
  <c r="K109" i="4" s="1"/>
  <c r="K119" i="4" s="1"/>
  <c r="K122" i="4" s="1"/>
  <c r="B19" i="6" s="1"/>
  <c r="E19" i="6" s="1"/>
  <c r="D109" i="2"/>
  <c r="K109" i="3" l="1"/>
  <c r="K119" i="3" s="1"/>
  <c r="K122" i="3" s="1"/>
  <c r="B17" i="6" s="1"/>
  <c r="K110" i="2"/>
  <c r="K109" i="2"/>
  <c r="K119" i="2" s="1"/>
  <c r="K122" i="2" s="1"/>
  <c r="B18" i="6" s="1"/>
  <c r="E18" i="6" s="1"/>
  <c r="E21" i="6"/>
  <c r="B21" i="6"/>
  <c r="E17" i="6"/>
</calcChain>
</file>

<file path=xl/sharedStrings.xml><?xml version="1.0" encoding="utf-8"?>
<sst xmlns="http://schemas.openxmlformats.org/spreadsheetml/2006/main" count="684" uniqueCount="371">
  <si>
    <t>FinSurf — SOTP-DCF Inputs</t>
  </si>
  <si>
    <t>Phase 2 v3 — per-Segment WACC (Damodaran β), shared D/E + tax. Column C = Reasoning.</t>
  </si>
  <si>
    <t>── Company ──</t>
  </si>
  <si>
    <t>Company</t>
  </si>
  <si>
    <t>Sartorius</t>
  </si>
  <si>
    <t>Ticker</t>
  </si>
  <si>
    <t>SRT3.DE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</si>
  <si>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</si>
  <si>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</si>
  <si>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</si>
  <si>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</si>
  <si>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</si>
  <si>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</si>
  <si>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</si>
  <si>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</si>
  <si>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</si>
  <si>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</si>
  <si>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</si>
  <si>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</si>
  <si>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</si>
  <si>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Bund 10y, Jahresende 2025 (Platzhalter, wird von Python überschrieben)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</si>
  <si>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</si>
  <si>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</si>
  <si>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</si>
  <si>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</si>
  <si>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</si>
  <si>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</si>
  <si>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</si>
  <si>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</si>
  <si>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</si>
  <si>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</si>
  <si>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Überwiegend entwickelte Märkte (EU 42%, USA 35%, Japan/Korea-lastiges APAC 23%); geringer China-Anteil (China 2025: €235,1 Mio. von €3.538,1 Mio. Konzernumsatz, ~6,6%).</t>
  </si>
  <si>
    <t>Specific Risk Premium</t>
  </si>
  <si>
    <t>Dual-Class-Aktienstruktur (stimmberechtigte Stammaktien vs. nicht-stimmberechtigte Vorzugsaktien); Gründerfamilie Kreuzburg hält Kontrollmehrheit über die Stammaktien.</t>
  </si>
  <si>
    <t>Cost of Equity Group [calc, ≥ Kd + Nachrang-Spread]</t>
  </si>
  <si>
    <t>Cost of Debt pre-tax (Kd)</t>
  </si>
  <si>
    <t>Implizit gezahlter Zins 153,8/4.282,5 = 3,6% (Blend aus älteren günstigeren Schuldscheinen). 2023 begebene Anleihen (€3 Mrd., Kupons 4,25%-4,875%, Ø~4,5%) markieren den aktuellen Marginalzins bei BBB- Rating (S&amp;P-Abstufung April 2025) → 4,5% angesetzt, nicht die niedrigere Blend-Rate.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</si>
  <si>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</si>
  <si>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</si>
  <si>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</si>
  <si>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</si>
  <si>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</si>
  <si>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</si>
  <si>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</si>
  <si>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</si>
  <si>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</si>
  <si>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</si>
  <si>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</si>
  <si>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</si>
  <si>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</si>
  <si>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</si>
  <si>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</si>
  <si>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15,806 Mio EUR (SRT3.DE) → Large/Mega Cap (&gt; 10 Mrd): +0.00 pp auf Ke</t>
  </si>
  <si>
    <t>Pensions-Unterdeckung (DBO - Planvermoegen), Anhang</t>
  </si>
  <si>
    <t>Hybrid-/Nachrangkapital, von IFRS als Eigenkapital gefuehrt</t>
  </si>
  <si>
    <t>SOTP DCF [Base] — Segment-Level Forecast + Group-Aggregation</t>
  </si>
  <si>
    <t>Yellow = Inputs. Orange = Reasoning (Writer befüllt nach Review-Call). Blue = computed. Green = output.</t>
  </si>
  <si>
    <t>Bioprocess Solutions</t>
  </si>
  <si>
    <t>Lab Products &amp; Services</t>
  </si>
  <si>
    <t>Segment 3</t>
  </si>
  <si>
    <t>Segment 4</t>
  </si>
  <si>
    <t>Segment 5</t>
  </si>
  <si>
    <t>Segment 6</t>
  </si>
  <si>
    <t>Segment 7</t>
  </si>
  <si>
    <t>Segment 8</t>
  </si>
  <si>
    <t>GROUP</t>
  </si>
  <si>
    <t>Segment name</t>
  </si>
  <si>
    <t>Bioprocess Solutions → TOCHTER-IMPORT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</si>
  <si>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</si>
  <si>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</si>
  <si>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</si>
  <si>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</si>
  <si>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</si>
  <si>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</si>
  <si>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</si>
  <si>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</si>
  <si>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</si>
  <si>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</si>
  <si>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</si>
  <si>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</si>
  <si>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</si>
  <si>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</si>
  <si>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BEWERTET AUS TOCHTER-SOTP: Sartorius Stedim Biotech (2026-08-18_run1) — Annahmen + Herleitung im Block Zeile 124 ff. Diese DCF-Spalte ist BEWUSST leer (EV 0), damit kein verworfener Mutter-DCF im Audit-Trail steht.</t>
  </si>
  <si>
    <t>Umsatz 2021-2025 rückläufig (CAGR ~-1,75%, basis multi_year), getrieben durch COVID-Boom 2022 (€848,2 Mio., Equipment-Nachholeffekt) und anschließenden mehrjährigen Instrumente-Abschwung/China-Schwäche. 2025 bereits Stabilisierung (+0,2% cc, H2 wieder positiv). FY2026-Guidance cc +2-6% (inkl. ~1,5pp MATTEK-Beitrag) → 5J-Rate 4% als Erholungsannahme; growth_ceiling deklariert, da dies deutlich über der destocking-verzerrten Trailing-CAGR liegt, aber durch explizite Guidance und dokumentierte H...</t>
  </si>
  <si>
    <t>Margin-Reasoning (Review-Call-Audit)</t>
  </si>
  <si>
    <t>reported_ebit_margin 5,6% geschätzt analog BPS-Methodik (EBITDA 144,6 minus D&amp;A 90,3 minus anteilig allozierte Sonderposten -16,9, Segment-Split der Extraordinary Items nicht separat disclosed → geflaggt). Y1 6,2% verankert an FY2026-Guidance 'leicht unter 21%' EBITDA-Marge (Belastung durch Advanced-Cell-Models-Investitionen, FX, Zölle) minus D&amp;A ~13,3% minus rückläufige Sonderposten ~1%. demonstrated_ebit_margin 8% als moderater Kompromiss zwischen dem höheren 2021/22-Niveau (~13%, teils pan...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</si>
  <si>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</si>
  <si>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</si>
  <si>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</si>
  <si>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</si>
  <si>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</si>
  <si>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</si>
  <si>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</si>
  <si>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</si>
  <si>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</si>
  <si>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</si>
  <si>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</si>
  <si>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</si>
  <si>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</si>
  <si>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</si>
  <si>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</si>
  <si>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</si>
  <si>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</si>
  <si>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</si>
  <si>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</si>
  <si>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</si>
  <si>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</si>
  <si>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</si>
  <si>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</si>
  <si>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</si>
  <si>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</si>
  <si>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</si>
  <si>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</si>
  <si>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</si>
  <si>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</si>
  <si>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</si>
  <si>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</si>
  <si>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</si>
  <si>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</si>
  <si>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</si>
  <si>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</si>
  <si>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</si>
  <si>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</si>
  <si>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</si>
  <si>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</si>
  <si>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</si>
  <si>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</si>
  <si>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</si>
  <si>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</si>
  <si>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</si>
  <si>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</si>
  <si>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</si>
  <si>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</si>
  <si>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</si>
  <si>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</si>
  <si>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</si>
  <si>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</si>
  <si>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</si>
  <si>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</si>
  <si>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</si>
  <si>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</si>
  <si>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</si>
  <si>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</si>
  <si>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</si>
  <si>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</si>
  <si>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</si>
  <si>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</si>
  <si>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</si>
  <si>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</si>
  <si>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</si>
  <si>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</si>
  <si>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</si>
  <si>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</si>
  <si>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</si>
  <si>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</si>
  <si>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</si>
  <si>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</si>
  <si>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</si>
  <si>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</si>
  <si>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</si>
  <si>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</si>
  <si>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</si>
  <si>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</si>
  <si>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</si>
  <si>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</si>
  <si>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</si>
  <si>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</si>
  <si>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</si>
  <si>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</si>
  <si>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</si>
  <si>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</si>
  <si>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</si>
  <si>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</si>
  <si>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</si>
  <si>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- Pensionsunterdeckung / Hybridkapital (oben enthalten)</t>
  </si>
  <si>
    <t>Price Target (per Share)</t>
  </si>
  <si>
    <t>TOCHTER-BETEILIGUNGEN (importiert aus Tochter-SOTP)</t>
  </si>
  <si>
    <t>Tochter / Ticker</t>
  </si>
  <si>
    <t>Sartorius Stedim Biotech (DIM.PA)</t>
  </si>
  <si>
    <t>Quell-Run (Tochter-SOTP)</t>
  </si>
  <si>
    <t>2026-08-18_run1</t>
  </si>
  <si>
    <t>Währung Tochter</t>
  </si>
  <si>
    <t>FX (Konzern je Tochter-Whg.)</t>
  </si>
  <si>
    <t>EV Tochter (SOTP, Base)</t>
  </si>
  <si>
    <t>− Netto-Schulden Tochter</t>
  </si>
  <si>
    <t>Eigenkapitalwert Tochter (EV − Netto-Schulden)</t>
  </si>
  <si>
    <t>× Anteil Mutter</t>
  </si>
  <si>
    <t>Mutter-Anteil, Tochter-Whg. (EK × Anteil)</t>
  </si>
  <si>
    <t>Mutter-Anteil EUR (× FX × (1+Case-FX)) → Bridge-Zeile ± Töchter</t>
  </si>
  <si>
    <t>Netto-Schuld Tochter (EUR, Spot) → Net-Debt-Zeile</t>
  </si>
  <si>
    <t>── Annahmen des Tochter-Runs (nachrichtlich) ──</t>
  </si>
  <si>
    <t>Revenue-CAGR (Base, umsatzgew.)</t>
  </si>
  <si>
    <t>9.0%</t>
  </si>
  <si>
    <t>EBIT-Marge Y1 → Y5 (Base, umsatzgew.)</t>
  </si>
  <si>
    <t>21.5% → 22.5%</t>
  </si>
  <si>
    <t>Terminal Growth (Base, umsatzgew.)</t>
  </si>
  <si>
    <t>2.8%</t>
  </si>
  <si>
    <t>WACC Tochter-Run</t>
  </si>
  <si>
    <t>7.9%</t>
  </si>
  <si>
    <t>PT Tochter (Base) × Aktien = EK oben</t>
  </si>
  <si>
    <t>102.20 × 97.3M Aktien = 9,947m EUR</t>
  </si>
  <si>
    <t>FX-Sensitivität: ±10 % Wechselkurs = ± je Aktie</t>
  </si>
  <si>
    <t>— (Konzernwährung, kein FX-Risiko)</t>
  </si>
  <si>
    <t>FX-Bewegung im Case (Base; − = Tochter-Whg. wertet ab)</t>
  </si>
  <si>
    <t>SOTP DCF [Bull] — Segment-Level Forecast + Group-Aggregation</t>
  </si>
  <si>
    <t>Bull: +2.0 pp Bioanalytik-Portfolio (inkl. MATTEK) gewinnt schneller Marktanteile, Instrumentegeschäft kehrt in China/Amerika früher zu Wachstum zurück: LPS-Wachstum über der 2-6%-cc-Guidance. | ewiges Wachstum +0.5 pp aus der Standard-Spreizung</t>
  </si>
  <si>
    <t>Bull: +2.0 pp Schnellerer Mix-Shift zur margenstarken Bioanalytik (aktuell ~1/3 des LPS-Umsatzes) beschleunigt die Margenerholung Richtung des 2021/22-EBITDA-Niveaus (~26%), EBIT-Marge Y5 Richtung 13%. | Marge Y1 +2.9 pp aus der Standard-Spreizung</t>
  </si>
  <si>
    <t>EV Tochter (SOTP, Bull)</t>
  </si>
  <si>
    <t>PT Tochter (Bull) × Aktien = EK oben</t>
  </si>
  <si>
    <t>144.45 × 97.3M Aktien = 14,059m EUR</t>
  </si>
  <si>
    <t>FX-Bewegung im Case (Bull; − = Tochter-Whg. wertet ab)</t>
  </si>
  <si>
    <t>SOTP DCF [Bear] — Segment-Level Forecast + Group-Aggregation</t>
  </si>
  <si>
    <t>Bear: -2.0 pp Instrumente-Nachfrage bleibt länger schwach, China-Schwäche hält an, Zollbelastung verschärft sich: LPS-Wachstum bleibt nahe Null wie 2023-2024. | ewiges Wachstum -0.7 pp aus der Standard-Spreizung</t>
  </si>
  <si>
    <t>Bear: -2.0 pp Anhaltender Produktmix- und Zolldruck plus fortlaufende Advanced-Cell-Models-Investitionen halten die LPS-EBIT-Marge nahe dem aktuellen Niveau von ~5-6% statt einer Erholung.; -1.0 pp Eskalation der US-Zölle über die aktuellen 15% auf EU-Importe hinaus (nicht in der Guidance enthalten) erhöht die Kosten für die aus der EU in die USA exportierten Produkte beider Divisionen zusätzlich. [konzernweiter Treiber] | Marge Y1 -3.3 pp aus der Standard-Spreizung</t>
  </si>
  <si>
    <t>EV Tochter (SOTP, Bear)</t>
  </si>
  <si>
    <t>PT Tochter (Bear) × Aktien = EK oben</t>
  </si>
  <si>
    <t>60.14 × 97.3M Aktien = 5,853m EUR</t>
  </si>
  <si>
    <t>FX-Bewegung im Case (Bear; − = Tochter-Whg. wertet ab)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</si>
  <si>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</si>
  <si>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</si>
  <si>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</si>
  <si>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</si>
  <si>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</si>
  <si>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</si>
  <si>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</si>
  <si>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</si>
  <si>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</si>
  <si>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</si>
  <si>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</si>
  <si>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</si>
  <si>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</si>
  <si>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</si>
  <si>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</si>
  <si>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</si>
  <si>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</si>
  <si>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</si>
  <si>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</si>
  <si>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</si>
  <si>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</si>
  <si>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</si>
  <si>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</si>
  <si>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</si>
  <si>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</si>
  <si>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Bioprocess Solutions → TOCHTER-IMPORT (Cases aus Tochter-SOTP, s. DCF-Sheets Zeile 124)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</si>
  <si>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</si>
  <si>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</si>
  <si>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</si>
  <si>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</si>
  <si>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</si>
  <si>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</si>
  <si>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</si>
  <si>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</si>
  <si>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</si>
  <si>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</si>
  <si>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</si>
  <si>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</si>
  <si>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</si>
  <si>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</si>
  <si>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</si>
  <si>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</si>
  <si>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positive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</si>
  <si>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</si>
  <si>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</si>
  <si>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</si>
  <si>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</si>
  <si>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</si>
  <si>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Note-Absatz (|Divergenz| &gt; 25%)</t>
  </si>
  <si>
    <t>JA — Note narriert</t>
  </si>
  <si>
    <t>Hebel erreichbar?</t>
  </si>
  <si>
    <t>ja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</si>
  <si>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</si>
  <si>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</si>
  <si>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</si>
  <si>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</si>
  <si>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</si>
  <si>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</si>
  <si>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</si>
  <si>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</si>
  <si>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</si>
  <si>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</si>
  <si>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</si>
  <si>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</si>
  <si>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</si>
  <si>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</si>
  <si>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</si>
  <si>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</si>
  <si>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</si>
  <si>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</si>
  <si>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</si>
  <si>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</si>
  <si>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</si>
  <si>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</si>
  <si>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</si>
  <si>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</si>
  <si>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</si>
  <si>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</si>
  <si>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</si>
  <si>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</si>
  <si>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</si>
  <si>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</si>
  <si>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</si>
  <si>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</si>
  <si>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</si>
  <si>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</si>
  <si>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</si>
  <si>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</si>
  <si>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</si>
  <si>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</si>
  <si>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</si>
  <si>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</si>
  <si>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</si>
  <si>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</si>
  <si>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</si>
  <si>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</si>
  <si>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</si>
  <si>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</si>
  <si>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</si>
  <si>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</si>
  <si>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</si>
  <si>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</si>
  <si>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</si>
  <si>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</si>
  <si>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</si>
  <si>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</si>
  <si>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</si>
  <si>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</si>
  <si>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</si>
  <si>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</si>
  <si>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</si>
  <si>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</si>
  <si>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zahlt Aufschlag auf unsere Annahmen</t>
  </si>
  <si>
    <t>Einordnung</t>
  </si>
  <si>
    <t>Der Markt zahlt heute rund 22.5x EV/EBITDA (trailing). Unser Kursziel entspricht rund 12.4x auf dem heutigen EBITDA (gleiche Basis, direkt mit der eigenen Historie vergleichbar). Das Markt-Niveau liegt im mittleren Bereich der eigenen 5J-Spanne (18.6x bis 27.1x). Der Markt preist also einen Aufschlag von rund 45% auf unsere Annahmen (höheres Wachstum / niedrigeres Risiko, das wir nicht teilen). Auf unserer Ergebnisschätzung für das kommende Jahr (t+1) entspricht das Kursziel rund 11.5x, der Markt 20.8x (anderer Nenner, nicht mit der Historie vergleichbar). Die Peer-Gruppe handelt bei 12.2–65.4x (Median 20.1x, trailing).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</si>
  <si>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</si>
  <si>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</si>
  <si>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</si>
  <si>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</si>
  <si>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</si>
  <si>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</si>
  <si>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</si>
  <si>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</si>
  <si>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DHR</t>
  </si>
  <si>
    <t>TMO</t>
  </si>
  <si>
    <t>MRK.DE</t>
  </si>
  <si>
    <t>LONN.SW</t>
  </si>
  <si>
    <t>RGEN</t>
  </si>
  <si>
    <t>BRKR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</si>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</sst>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0" fillId="0" borderId="1" xfId="0" applyNumberFormat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6" fillId="6" borderId="1" xfId="0" applyFont="1" applyFill="1" applyBorder="1" applyAlignment="1">
      <alignment vertical="top" wrapText="1"/>
    </xf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workbookViewId="0"/>
  </sheetViews>
  <sheetFormatPr baseColWidth="10" defaultColWidth="9.140625" defaultRowHeight="15" x14ac:dyDescent="0.25"/>
  <cols>
    <col min="1" max="1" width="32" customWidth="1"/>
    <col min="2" max="2" width="18" customWidth="1"/>
    <col min="3" max="3" width="60" customWidth="1"/>
  </cols>
  <sheetData>
    <row r="1" spans="1:2" ht="18.75" customHeight="1" x14ac:dyDescent="0.3">
      <c r="A1" s="1" t="s">
        <v>0</v>
      </c>
    </row>
    <row r="2" spans="1:2" x14ac:dyDescent="0.25">
      <c r="A2" s="2" t="s">
        <v>1</v>
      </c>
    </row>
    <row r="4" spans="1:2" x14ac:dyDescent="0.25">
      <c r="A4" s="3" t="s">
        <v>2</v>
      </c>
    </row>
    <row r="5" spans="1:2" x14ac:dyDescent="0.25">
      <c r="A5" s="4" t="s">
        <v>3</v>
      </c>
      <c r="B5" t="s">
        <v>4</v>
      </c>
    </row>
    <row r="6" spans="1:2" x14ac:dyDescent="0.25">
      <c r="A6" s="4" t="s">
        <v>5</v>
      </c>
      <c r="B6" t="s">
        <v>6</v>
      </c>
    </row>
    <row r="7" spans="1:2" x14ac:dyDescent="0.25">
      <c r="A7" s="4" t="s">
        <v>7</v>
      </c>
      <c r="B7" t="s">
        <v>8</v>
      </c>
    </row>
    <row r="8" spans="1:2" x14ac:dyDescent="0.25">
      <c r="A8" s="4" t="s">
        <v>9</v>
      </c>
      <c r="B8" t="s">
        <v>10</v>
      </c>
    </row>
    <row r="10" spans="1:2" x14ac:dyDescent="0.25">
      <c r="A10" s="3" t="s">
        <v>11</v>
      </c>
    </row>
    <row r="11" spans="1:2" x14ac:dyDescent="0.25">
      <c r="A11" s="4" t="s">
        <v>12</v>
      </c>
      <c r="B11" s="5">
        <v>69</v>
      </c>
    </row>
    <row r="12" spans="1:2" x14ac:dyDescent="0.25">
      <c r="A12" s="4" t="s">
        <v>13</v>
      </c>
      <c r="B12" s="5">
        <v>541.4</v>
      </c>
    </row>
    <row r="13" spans="1:2" x14ac:dyDescent="0.25">
      <c r="A13" s="4" t="s">
        <v>14</v>
      </c>
      <c r="B13" s="5">
        <v>4075.3</v>
      </c>
    </row>
    <row r="14" spans="1:2" x14ac:dyDescent="0.25">
      <c r="A14" s="4" t="s">
        <v>15</v>
      </c>
      <c r="B14" s="6">
        <f>B13-B12</f>
        <v>3533.9</v>
      </c>
    </row>
    <row r="15" spans="1:2" x14ac:dyDescent="0.25">
      <c r="A15" s="4" t="s">
        <v>16</v>
      </c>
      <c r="B15" s="5">
        <v>0</v>
      </c>
    </row>
    <row r="17" spans="1:3" x14ac:dyDescent="0.25">
      <c r="A17" s="3" t="s">
        <v>17</v>
      </c>
      <c r="C17" s="2" t="s">
        <v>18</v>
      </c>
    </row>
    <row r="18" spans="1:3" x14ac:dyDescent="0.25">
      <c r="A18" s="4" t="s">
        <v>19</v>
      </c>
      <c r="B18" s="7">
        <v>2.5000000000000001E-2</v>
      </c>
      <c r="C18" s="8" t="s">
        <v>20</v>
      </c>
    </row>
    <row r="19" spans="1:3" x14ac:dyDescent="0.25">
      <c r="A19" s="4" t="s">
        <v>21</v>
      </c>
      <c r="B19" s="7">
        <v>5.3079420579420583E-2</v>
      </c>
      <c r="C19" s="8" t="s">
        <v>22</v>
      </c>
    </row>
    <row r="20" spans="1:3" x14ac:dyDescent="0.25">
      <c r="A20" s="4" t="s">
        <v>23</v>
      </c>
      <c r="B20" s="9">
        <v>0.84099999999999997</v>
      </c>
      <c r="C20" s="8" t="s">
        <v>24</v>
      </c>
    </row>
    <row r="21" spans="1:3" x14ac:dyDescent="0.25">
      <c r="A21" s="4" t="s">
        <v>25</v>
      </c>
      <c r="B21" s="9">
        <v>0.25800000000000001</v>
      </c>
      <c r="C21" s="8" t="s">
        <v>26</v>
      </c>
    </row>
    <row r="22" spans="1:3" x14ac:dyDescent="0.25">
      <c r="A22" s="4" t="s">
        <v>27</v>
      </c>
      <c r="B22" s="7">
        <v>0.28000000000000003</v>
      </c>
      <c r="C22" s="8" t="s">
        <v>28</v>
      </c>
    </row>
    <row r="23" spans="1:3" x14ac:dyDescent="0.25">
      <c r="A23" s="4" t="s">
        <v>29</v>
      </c>
      <c r="B23" s="10">
        <f>(1-0.33)*(B20*(1+(1-B22)*B21))+0.33</f>
        <v>0.99814018719999997</v>
      </c>
    </row>
    <row r="24" spans="1:3" x14ac:dyDescent="0.25">
      <c r="A24" s="4" t="s">
        <v>30</v>
      </c>
      <c r="B24" s="7">
        <v>4.0000000000000001E-3</v>
      </c>
      <c r="C24" s="8" t="s">
        <v>31</v>
      </c>
    </row>
    <row r="25" spans="1:3" x14ac:dyDescent="0.25">
      <c r="A25" s="4" t="s">
        <v>32</v>
      </c>
      <c r="B25" s="7">
        <v>5.0000000000000001E-3</v>
      </c>
      <c r="C25" s="8" t="s">
        <v>33</v>
      </c>
    </row>
    <row r="26" spans="1:3" x14ac:dyDescent="0.25">
      <c r="A26" s="4" t="s">
        <v>34</v>
      </c>
      <c r="B26" s="11">
        <f>MAX(B18+B23*B19+B24+B25+B39,MIN(B27,0.08)+0.025)</f>
        <v>8.6980702793610393E-2</v>
      </c>
    </row>
    <row r="27" spans="1:3" x14ac:dyDescent="0.25">
      <c r="A27" s="4" t="s">
        <v>35</v>
      </c>
      <c r="B27" s="7">
        <v>4.4999999999999998E-2</v>
      </c>
      <c r="C27" s="8" t="s">
        <v>36</v>
      </c>
    </row>
    <row r="28" spans="1:3" x14ac:dyDescent="0.25">
      <c r="A28" s="4" t="s">
        <v>37</v>
      </c>
      <c r="B28" s="11">
        <f>B27*(1-B22)</f>
        <v>3.2399999999999998E-2</v>
      </c>
    </row>
    <row r="29" spans="1:3" x14ac:dyDescent="0.25">
      <c r="A29" s="4" t="s">
        <v>38</v>
      </c>
      <c r="B29" s="11">
        <f>1/(1+B21)</f>
        <v>0.79491255961844198</v>
      </c>
    </row>
    <row r="30" spans="1:3" x14ac:dyDescent="0.25">
      <c r="A30" s="4" t="s">
        <v>39</v>
      </c>
      <c r="B30" s="11">
        <f>B21/(1+B21)</f>
        <v>0.20508744038155804</v>
      </c>
    </row>
    <row r="31" spans="1:3" x14ac:dyDescent="0.25">
      <c r="A31" s="4" t="s">
        <v>40</v>
      </c>
      <c r="B31" s="12">
        <f>MAX(B26*B29+B28*B30,B35)</f>
        <v>7.5786886163442285E-2</v>
      </c>
    </row>
    <row r="32" spans="1:3" x14ac:dyDescent="0.25">
      <c r="A32" s="3" t="s">
        <v>41</v>
      </c>
    </row>
    <row r="33" spans="1:3" x14ac:dyDescent="0.25">
      <c r="A33" s="4" t="s">
        <v>42</v>
      </c>
      <c r="B33" s="7">
        <v>0.02</v>
      </c>
    </row>
    <row r="34" spans="1:3" x14ac:dyDescent="0.25">
      <c r="A34" s="4" t="s">
        <v>43</v>
      </c>
      <c r="B34" s="7">
        <v>0.01</v>
      </c>
    </row>
    <row r="35" spans="1:3" x14ac:dyDescent="0.25">
      <c r="A35" s="4" t="s">
        <v>44</v>
      </c>
      <c r="B35" s="7">
        <v>0</v>
      </c>
      <c r="C35" s="8" t="s">
        <v>45</v>
      </c>
    </row>
    <row r="36" spans="1:3" x14ac:dyDescent="0.25">
      <c r="A36" s="4" t="s">
        <v>46</v>
      </c>
      <c r="B36" s="7">
        <v>0.1134</v>
      </c>
      <c r="C36" s="8" t="s">
        <v>47</v>
      </c>
    </row>
    <row r="37" spans="1:3" x14ac:dyDescent="0.25">
      <c r="A37" s="4" t="s">
        <v>48</v>
      </c>
      <c r="B37" s="11">
        <f>B18+0.008+0.02*B36</f>
        <v>3.5268000000000001E-2</v>
      </c>
      <c r="C37" s="8" t="s">
        <v>49</v>
      </c>
    </row>
    <row r="38" spans="1:3" x14ac:dyDescent="0.25">
      <c r="A38" s="4" t="s">
        <v>50</v>
      </c>
      <c r="B38" s="11">
        <f>B37*(1-B22)</f>
        <v>2.5392959999999999E-2</v>
      </c>
    </row>
    <row r="39" spans="1:3" x14ac:dyDescent="0.25">
      <c r="A39" s="4" t="s">
        <v>51</v>
      </c>
      <c r="B39" s="7">
        <v>0</v>
      </c>
      <c r="C39" s="8" t="s">
        <v>52</v>
      </c>
    </row>
    <row r="41" spans="1:3" x14ac:dyDescent="0.25">
      <c r="B41">
        <v>57</v>
      </c>
      <c r="C41" t="s">
        <v>53</v>
      </c>
    </row>
    <row r="42" spans="1:3" x14ac:dyDescent="0.25">
      <c r="B42">
        <v>0</v>
      </c>
      <c r="C42" t="s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3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55</v>
      </c>
    </row>
    <row r="2" spans="1:11" x14ac:dyDescent="0.25">
      <c r="A2" s="2" t="s">
        <v>56</v>
      </c>
    </row>
    <row r="3" spans="1:11" x14ac:dyDescent="0.25">
      <c r="C3" s="13" t="s">
        <v>57</v>
      </c>
      <c r="D3" s="13" t="s">
        <v>58</v>
      </c>
      <c r="E3" s="13" t="s">
        <v>59</v>
      </c>
      <c r="F3" s="13" t="s">
        <v>60</v>
      </c>
      <c r="G3" s="13" t="s">
        <v>61</v>
      </c>
      <c r="H3" s="13" t="s">
        <v>62</v>
      </c>
      <c r="I3" s="13" t="s">
        <v>63</v>
      </c>
      <c r="J3" s="13" t="s">
        <v>64</v>
      </c>
      <c r="K3" s="13" t="s">
        <v>65</v>
      </c>
    </row>
    <row r="4" spans="1:11" x14ac:dyDescent="0.25">
      <c r="A4" s="4" t="s">
        <v>66</v>
      </c>
      <c r="C4" s="14" t="s">
        <v>67</v>
      </c>
      <c r="D4" s="14" t="s">
        <v>58</v>
      </c>
      <c r="E4" s="14"/>
      <c r="F4" s="14"/>
      <c r="G4" s="14"/>
      <c r="H4" s="14"/>
      <c r="I4" s="14"/>
      <c r="J4" s="14"/>
    </row>
    <row r="5" spans="1:11" x14ac:dyDescent="0.25">
      <c r="A5" s="4" t="s">
        <v>68</v>
      </c>
      <c r="C5" s="5"/>
      <c r="D5" s="5">
        <v>673</v>
      </c>
      <c r="E5" s="5"/>
      <c r="F5" s="5"/>
      <c r="G5" s="5"/>
      <c r="H5" s="5"/>
      <c r="I5" s="5"/>
      <c r="J5" s="5"/>
    </row>
    <row r="6" spans="1:11" x14ac:dyDescent="0.25">
      <c r="A6" s="4" t="s">
        <v>69</v>
      </c>
      <c r="C6" s="7"/>
      <c r="D6" s="7">
        <v>0.04</v>
      </c>
      <c r="E6" s="7"/>
      <c r="F6" s="7"/>
      <c r="G6" s="7"/>
      <c r="H6" s="7"/>
      <c r="I6" s="7"/>
      <c r="J6" s="7"/>
    </row>
    <row r="7" spans="1:11" x14ac:dyDescent="0.25">
      <c r="A7" s="4" t="s">
        <v>70</v>
      </c>
      <c r="C7" s="7"/>
      <c r="D7" s="7">
        <v>5.6000000000000001E-2</v>
      </c>
      <c r="E7" s="7"/>
      <c r="F7" s="7"/>
      <c r="G7" s="7"/>
      <c r="H7" s="7"/>
      <c r="I7" s="7"/>
      <c r="J7" s="7"/>
    </row>
    <row r="8" spans="1:11" x14ac:dyDescent="0.25">
      <c r="A8" s="4" t="s">
        <v>71</v>
      </c>
      <c r="C8" s="15"/>
      <c r="D8" s="15">
        <v>5.6000000000000001E-2</v>
      </c>
      <c r="E8" s="15"/>
      <c r="F8" s="15"/>
      <c r="G8" s="15"/>
      <c r="H8" s="15"/>
      <c r="I8" s="15"/>
      <c r="J8" s="15"/>
    </row>
    <row r="9" spans="1:11" x14ac:dyDescent="0.25">
      <c r="A9" s="4" t="s">
        <v>72</v>
      </c>
      <c r="C9" s="7"/>
      <c r="D9" s="7">
        <v>0.11</v>
      </c>
      <c r="E9" s="7"/>
      <c r="F9" s="7"/>
      <c r="G9" s="7"/>
      <c r="H9" s="7"/>
      <c r="I9" s="7"/>
      <c r="J9" s="7"/>
    </row>
    <row r="10" spans="1:11" x14ac:dyDescent="0.25">
      <c r="A10" s="4" t="s">
        <v>73</v>
      </c>
      <c r="C10" s="7"/>
      <c r="D10" s="7">
        <v>0.16</v>
      </c>
      <c r="E10" s="7"/>
      <c r="F10" s="7"/>
      <c r="G10" s="7"/>
      <c r="H10" s="7"/>
      <c r="I10" s="7"/>
      <c r="J10" s="7"/>
    </row>
    <row r="11" spans="1:11" x14ac:dyDescent="0.25">
      <c r="A11" s="4" t="s">
        <v>74</v>
      </c>
      <c r="C11" s="7"/>
      <c r="D11" s="7">
        <v>0.13400000000000001</v>
      </c>
      <c r="E11" s="7"/>
      <c r="F11" s="7"/>
      <c r="G11" s="7"/>
      <c r="H11" s="7"/>
      <c r="I11" s="7"/>
      <c r="J11" s="7"/>
    </row>
    <row r="12" spans="1:11" x14ac:dyDescent="0.25">
      <c r="A12" s="4" t="s">
        <v>75</v>
      </c>
      <c r="C12" s="7"/>
      <c r="D12" s="7">
        <v>2.5000000000000001E-2</v>
      </c>
      <c r="E12" s="7"/>
      <c r="F12" s="7"/>
      <c r="G12" s="7"/>
      <c r="H12" s="7"/>
      <c r="I12" s="7"/>
      <c r="J12" s="7"/>
    </row>
    <row r="13" spans="1:11" x14ac:dyDescent="0.25">
      <c r="A13" s="4" t="s">
        <v>76</v>
      </c>
      <c r="C13" s="7"/>
      <c r="D13" s="7">
        <v>2.5000000000000001E-2</v>
      </c>
      <c r="E13" s="7"/>
      <c r="F13" s="7"/>
      <c r="G13" s="7"/>
      <c r="H13" s="7"/>
      <c r="I13" s="7"/>
      <c r="J13" s="7"/>
    </row>
    <row r="14" spans="1:11" x14ac:dyDescent="0.25">
      <c r="A14" s="4" t="s">
        <v>77</v>
      </c>
      <c r="C14" s="9"/>
      <c r="D14" s="9">
        <v>0.84099999999999997</v>
      </c>
      <c r="E14" s="9"/>
      <c r="F14" s="9"/>
      <c r="G14" s="9"/>
      <c r="H14" s="9"/>
      <c r="I14" s="9"/>
      <c r="J14" s="9"/>
    </row>
    <row r="15" spans="1:11" x14ac:dyDescent="0.25">
      <c r="A15" s="4" t="s">
        <v>78</v>
      </c>
      <c r="C15" s="7"/>
      <c r="D15" s="7">
        <v>0</v>
      </c>
      <c r="E15" s="7"/>
      <c r="F15" s="7"/>
      <c r="G15" s="7"/>
      <c r="H15" s="7"/>
      <c r="I15" s="7"/>
      <c r="J15" s="7"/>
    </row>
    <row r="16" spans="1:11" x14ac:dyDescent="0.25">
      <c r="A16" s="4" t="s">
        <v>79</v>
      </c>
      <c r="C16" s="11">
        <f>MAX((MAX(Inputs!B18+((1-0.33)*C14*(1+(1-Inputs!B22)*Inputs!B21)+0.33)*Inputs!B19+IF(ISBLANK(C17),Inputs!B24,C17)+Inputs!B25+Inputs!B39,MIN(Inputs!B27,0.08)+0.025))*Inputs!B29+Inputs!B28*Inputs!B30,C15)</f>
        <v>6.2288712241653423E-2</v>
      </c>
      <c r="D16" s="11">
        <f>MAX((MAX(Inputs!B18+((1-0.33)*D14*(1+(1-Inputs!B22)*Inputs!B21)+0.33)*Inputs!B19+IF(ISBLANK(D17),Inputs!B24,D17)+Inputs!B25+Inputs!B39,MIN(Inputs!B27,0.08)+0.025))*Inputs!B29+Inputs!B28*Inputs!B30,D15)</f>
        <v>7.5786886163442285E-2</v>
      </c>
      <c r="E16" s="11">
        <f>MAX((MAX(Inputs!B18+((1-0.33)*E14*(1+(1-Inputs!B22)*Inputs!B21)+0.33)*Inputs!B19+IF(ISBLANK(E17),Inputs!B24,E17)+Inputs!B25+Inputs!B39,MIN(Inputs!B27,0.08)+0.025))*Inputs!B29+Inputs!B28*Inputs!B30,E15)</f>
        <v>6.2288712241653423E-2</v>
      </c>
      <c r="F16" s="11">
        <f>MAX((MAX(Inputs!B18+((1-0.33)*F14*(1+(1-Inputs!B22)*Inputs!B21)+0.33)*Inputs!B19+IF(ISBLANK(F17),Inputs!B24,F17)+Inputs!B25+Inputs!B39,MIN(Inputs!B27,0.08)+0.025))*Inputs!B29+Inputs!B28*Inputs!B30,F15)</f>
        <v>6.2288712241653423E-2</v>
      </c>
      <c r="G16" s="11">
        <f>MAX((MAX(Inputs!B18+((1-0.33)*G14*(1+(1-Inputs!B22)*Inputs!B21)+0.33)*Inputs!B19+IF(ISBLANK(G17),Inputs!B24,G17)+Inputs!B25+Inputs!B39,MIN(Inputs!B27,0.08)+0.025))*Inputs!B29+Inputs!B28*Inputs!B30,G15)</f>
        <v>6.2288712241653423E-2</v>
      </c>
      <c r="H16" s="11">
        <f>MAX((MAX(Inputs!B18+((1-0.33)*H14*(1+(1-Inputs!B22)*Inputs!B21)+0.33)*Inputs!B19+IF(ISBLANK(H17),Inputs!B24,H17)+Inputs!B25+Inputs!B39,MIN(Inputs!B27,0.08)+0.025))*Inputs!B29+Inputs!B28*Inputs!B30,H15)</f>
        <v>6.2288712241653423E-2</v>
      </c>
      <c r="I16" s="11">
        <f>MAX((MAX(Inputs!B18+((1-0.33)*I14*(1+(1-Inputs!B22)*Inputs!B21)+0.33)*Inputs!B19+IF(ISBLANK(I17),Inputs!B24,I17)+Inputs!B25+Inputs!B39,MIN(Inputs!B27,0.08)+0.025))*Inputs!B29+Inputs!B28*Inputs!B30,I15)</f>
        <v>6.2288712241653423E-2</v>
      </c>
      <c r="J16" s="11">
        <f>MAX((MAX(Inputs!B18+((1-0.33)*J14*(1+(1-Inputs!B22)*Inputs!B21)+0.33)*Inputs!B19+IF(ISBLANK(J17),Inputs!B24,J17)+Inputs!B25+Inputs!B39,MIN(Inputs!B27,0.08)+0.025))*Inputs!B29+Inputs!B28*Inputs!B30,J15)</f>
        <v>6.2288712241653423E-2</v>
      </c>
    </row>
    <row r="17" spans="1:10" x14ac:dyDescent="0.25">
      <c r="A17" s="16" t="s">
        <v>80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81</v>
      </c>
      <c r="C18" s="36" t="s">
        <v>82</v>
      </c>
      <c r="D18" s="18" t="s">
        <v>83</v>
      </c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84</v>
      </c>
      <c r="C19" s="18"/>
      <c r="D19" s="18" t="s">
        <v>85</v>
      </c>
      <c r="E19" s="18"/>
      <c r="F19" s="18"/>
      <c r="G19" s="18"/>
      <c r="H19" s="18"/>
      <c r="I19" s="18"/>
      <c r="J19" s="18"/>
    </row>
    <row r="21" spans="1:10" x14ac:dyDescent="0.25">
      <c r="A21" s="4" t="s">
        <v>86</v>
      </c>
      <c r="C21" s="6">
        <f t="shared" ref="C21:J21" si="0">C5*(1+C6)^1</f>
        <v>0</v>
      </c>
      <c r="D21" s="6">
        <f t="shared" si="0"/>
        <v>699.92000000000007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87</v>
      </c>
      <c r="C22" s="6">
        <f t="shared" ref="C22:J22" si="1">C5*(1+C6)^2</f>
        <v>0</v>
      </c>
      <c r="D22" s="6">
        <f t="shared" si="1"/>
        <v>727.91680000000008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88</v>
      </c>
      <c r="C23" s="6">
        <f t="shared" ref="C23:J23" si="2">C5*(1+C6)^3</f>
        <v>0</v>
      </c>
      <c r="D23" s="6">
        <f t="shared" si="2"/>
        <v>757.03347200000007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89</v>
      </c>
      <c r="C24" s="6">
        <f t="shared" ref="C24:J24" si="3">C5*(1+C6)^4</f>
        <v>0</v>
      </c>
      <c r="D24" s="6">
        <f t="shared" si="3"/>
        <v>787.3148108800001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90</v>
      </c>
      <c r="C25" s="6">
        <f t="shared" ref="C25:J25" si="4">C5*(1+C6)^5</f>
        <v>0</v>
      </c>
      <c r="D25" s="6">
        <f t="shared" si="4"/>
        <v>818.80740331520019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91</v>
      </c>
      <c r="C26" s="7"/>
      <c r="D26" s="7">
        <v>0.02</v>
      </c>
      <c r="E26" s="7"/>
      <c r="F26" s="7"/>
      <c r="G26" s="7"/>
      <c r="H26" s="7"/>
      <c r="I26" s="7"/>
      <c r="J26" s="7"/>
    </row>
    <row r="27" spans="1:10" x14ac:dyDescent="0.25">
      <c r="A27" s="4" t="s">
        <v>92</v>
      </c>
      <c r="C27" s="11">
        <f t="shared" ref="C27:J27" si="5">IF(ISBLANK(C9),C7,C7+(C9-C7)*(0)/4)</f>
        <v>0</v>
      </c>
      <c r="D27" s="11">
        <f t="shared" si="5"/>
        <v>5.6000000000000001E-2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93</v>
      </c>
      <c r="C28" s="11">
        <f t="shared" ref="C28:J28" si="6">IF(ISBLANK(C9),C7,C7+(C9-C7)*(1)/4)</f>
        <v>0</v>
      </c>
      <c r="D28" s="11">
        <f t="shared" si="6"/>
        <v>6.9500000000000006E-2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94</v>
      </c>
      <c r="C29" s="11">
        <f t="shared" ref="C29:J29" si="7">IF(ISBLANK(C9),C7,C7+(C9-C7)*(2)/4)</f>
        <v>0</v>
      </c>
      <c r="D29" s="11">
        <f t="shared" si="7"/>
        <v>8.3000000000000004E-2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95</v>
      </c>
      <c r="C30" s="11">
        <f t="shared" ref="C30:J30" si="8">IF(ISBLANK(C9),C7,C7+(C9-C7)*(3)/4)</f>
        <v>0</v>
      </c>
      <c r="D30" s="11">
        <f t="shared" si="8"/>
        <v>9.6500000000000002E-2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96</v>
      </c>
      <c r="C31" s="11">
        <f t="shared" ref="C31:J31" si="9">IF(ISBLANK(C9),C7,C7+(C9-C7)*(4)/4)</f>
        <v>0</v>
      </c>
      <c r="D31" s="11">
        <f t="shared" si="9"/>
        <v>0.11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97</v>
      </c>
      <c r="C33" s="6">
        <f t="shared" ref="C33:J37" si="10">C21*C27</f>
        <v>0</v>
      </c>
      <c r="D33" s="6">
        <f t="shared" si="10"/>
        <v>39.195520000000002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98</v>
      </c>
      <c r="C34" s="6">
        <f t="shared" si="10"/>
        <v>0</v>
      </c>
      <c r="D34" s="6">
        <f t="shared" si="10"/>
        <v>50.59021760000001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99</v>
      </c>
      <c r="C35" s="6">
        <f t="shared" si="10"/>
        <v>0</v>
      </c>
      <c r="D35" s="6">
        <f t="shared" si="10"/>
        <v>62.83377817600001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100</v>
      </c>
      <c r="C36" s="6">
        <f t="shared" si="10"/>
        <v>0</v>
      </c>
      <c r="D36" s="6">
        <f t="shared" si="10"/>
        <v>75.975879249920013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101</v>
      </c>
      <c r="C37" s="6">
        <f t="shared" si="10"/>
        <v>0</v>
      </c>
      <c r="D37" s="6">
        <f t="shared" si="10"/>
        <v>90.068814364672022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102</v>
      </c>
      <c r="C39" s="6">
        <f>C33*(1-Inputs!B22)</f>
        <v>0</v>
      </c>
      <c r="D39" s="6">
        <f>D33*(1-Inputs!B22)</f>
        <v>28.2207744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103</v>
      </c>
      <c r="C40" s="6">
        <f>C34*(1-Inputs!B22)</f>
        <v>0</v>
      </c>
      <c r="D40" s="6">
        <f>D34*(1-Inputs!B22)</f>
        <v>36.424956672000008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104</v>
      </c>
      <c r="C41" s="6">
        <f>C35*(1-Inputs!B22)</f>
        <v>0</v>
      </c>
      <c r="D41" s="6">
        <f>D35*(1-Inputs!B22)</f>
        <v>45.240320286720006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105</v>
      </c>
      <c r="C42" s="6">
        <f>C36*(1-Inputs!B22)</f>
        <v>0</v>
      </c>
      <c r="D42" s="6">
        <f>D36*(1-Inputs!B22)</f>
        <v>54.702633059942407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106</v>
      </c>
      <c r="C43" s="6">
        <f>C37*(1-Inputs!B22)</f>
        <v>0</v>
      </c>
      <c r="D43" s="6">
        <f>D37*(1-Inputs!B22)</f>
        <v>64.849546342563855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107</v>
      </c>
      <c r="C45" s="6">
        <f t="shared" ref="C45:J45" si="11">C21*IF(ISBLANK(C26),C12,C12+(C26-C12)*(0)/4)</f>
        <v>0</v>
      </c>
      <c r="D45" s="6">
        <f t="shared" si="11"/>
        <v>17.498000000000001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108</v>
      </c>
      <c r="C46" s="6">
        <f t="shared" ref="C46:J46" si="12">C22*IF(ISBLANK(C26),C12,C12+(C26-C12)*(1)/4)</f>
        <v>0</v>
      </c>
      <c r="D46" s="6">
        <f t="shared" si="12"/>
        <v>17.288024000000004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109</v>
      </c>
      <c r="C47" s="6">
        <f t="shared" ref="C47:J47" si="13">C23*IF(ISBLANK(C26),C12,C12+(C26-C12)*(2)/4)</f>
        <v>0</v>
      </c>
      <c r="D47" s="6">
        <f t="shared" si="13"/>
        <v>17.033253120000001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110</v>
      </c>
      <c r="C48" s="6">
        <f t="shared" ref="C48:J48" si="14">C24*IF(ISBLANK(C26),C12,C12+(C26-C12)*(3)/4)</f>
        <v>0</v>
      </c>
      <c r="D48" s="6">
        <f t="shared" si="14"/>
        <v>16.730439731200004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111</v>
      </c>
      <c r="C49" s="6">
        <f t="shared" ref="C49:J49" si="15">C25*IF(ISBLANK(C26),C12,C12+(C26-C12)*(4)/4)</f>
        <v>0</v>
      </c>
      <c r="D49" s="6">
        <f t="shared" si="15"/>
        <v>16.376148066304005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112</v>
      </c>
      <c r="C51" s="6">
        <f t="shared" ref="C51:J55" si="16">C39-C45</f>
        <v>0</v>
      </c>
      <c r="D51" s="6">
        <f t="shared" si="16"/>
        <v>10.722774399999999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113</v>
      </c>
      <c r="C52" s="6">
        <f t="shared" si="16"/>
        <v>0</v>
      </c>
      <c r="D52" s="6">
        <f t="shared" si="16"/>
        <v>19.136932672000004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114</v>
      </c>
      <c r="C53" s="6">
        <f t="shared" si="16"/>
        <v>0</v>
      </c>
      <c r="D53" s="6">
        <f t="shared" si="16"/>
        <v>28.207067166720005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115</v>
      </c>
      <c r="C54" s="6">
        <f t="shared" si="16"/>
        <v>0</v>
      </c>
      <c r="D54" s="6">
        <f t="shared" si="16"/>
        <v>37.972193328742406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116</v>
      </c>
      <c r="C55" s="6">
        <f t="shared" si="16"/>
        <v>0</v>
      </c>
      <c r="D55" s="6">
        <f t="shared" si="16"/>
        <v>48.47339827625985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117</v>
      </c>
      <c r="C57" s="6">
        <f t="shared" ref="C57:J57" si="17">C51/((1+C16))</f>
        <v>0</v>
      </c>
      <c r="D57" s="6">
        <f t="shared" si="17"/>
        <v>9.9673778681579019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118</v>
      </c>
      <c r="C58" s="6">
        <f t="shared" ref="C58:J58" si="18">C52/((1+C16)*(1+C16+(C104-C16)*1/5))</f>
        <v>0</v>
      </c>
      <c r="D58" s="6">
        <f t="shared" si="18"/>
        <v>16.533163033461481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119</v>
      </c>
      <c r="C59" s="6">
        <f t="shared" ref="C59:J59" si="19">C53/((1+C16)*(1+C16+(C104-C16)*1/5)*(1+C16+(C104-C16)*2/5))</f>
        <v>0</v>
      </c>
      <c r="D59" s="6">
        <f t="shared" si="19"/>
        <v>22.645793255676388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120</v>
      </c>
      <c r="C60" s="6">
        <f t="shared" ref="C60:J60" si="20">C54/((1+C16)*(1+C16+(C104-C16)*1/5)*(1+C16+(C104-C16)*2/5)*(1+C16+(C104-C16)*3/5))</f>
        <v>0</v>
      </c>
      <c r="D60" s="6">
        <f t="shared" si="20"/>
        <v>28.325488267717365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121</v>
      </c>
      <c r="C61" s="6">
        <f t="shared" ref="C61:J61" si="21">C55/((1+C16)*(1+C16+(C104-C16)*1/5)*(1+C16+(C104-C16)*2/5)*(1+C16+(C104-C16)*3/5)*(1+C16+(C104-C16)*4/5))</f>
        <v>0</v>
      </c>
      <c r="D61" s="6">
        <f t="shared" si="21"/>
        <v>33.591813039712775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122</v>
      </c>
    </row>
    <row r="63" spans="1:10" x14ac:dyDescent="0.25">
      <c r="A63" s="4" t="s">
        <v>123</v>
      </c>
      <c r="C63" s="6">
        <f t="shared" ref="C63:J63" si="22">C25*(1+(C6+(C13-C6)*1/5))</f>
        <v>0</v>
      </c>
      <c r="D63" s="6">
        <f t="shared" si="22"/>
        <v>849.10327723786259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124</v>
      </c>
      <c r="C64" s="6">
        <f t="shared" ref="C64:J64" si="23">C63*(1+(C6+(C13-C6)*2/5))</f>
        <v>0</v>
      </c>
      <c r="D64" s="6">
        <f t="shared" si="23"/>
        <v>877.97278866394993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125</v>
      </c>
      <c r="C65" s="6">
        <f t="shared" ref="C65:J65" si="24">C64*(1+(C6+(C13-C6)*3/5))</f>
        <v>0</v>
      </c>
      <c r="D65" s="6">
        <f t="shared" si="24"/>
        <v>905.18994511253231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126</v>
      </c>
      <c r="C66" s="6">
        <f t="shared" ref="C66:J66" si="25">C65*(1+(C6+(C13-C6)*4/5))</f>
        <v>0</v>
      </c>
      <c r="D66" s="6">
        <f t="shared" si="25"/>
        <v>930.53526357568319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127</v>
      </c>
      <c r="C67" s="6">
        <f t="shared" ref="C67:J67" si="26">C66*(1+(C6+(C13-C6)*5/5))</f>
        <v>0</v>
      </c>
      <c r="D67" s="6">
        <f t="shared" si="26"/>
        <v>953.79864516507519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128</v>
      </c>
      <c r="C69" s="11">
        <f t="shared" ref="C69:J69" si="27">IF(ISBLANK(C9),C7,C9)</f>
        <v>0</v>
      </c>
      <c r="D69" s="11">
        <f t="shared" si="27"/>
        <v>0.11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129</v>
      </c>
      <c r="C70" s="11">
        <f t="shared" ref="C70:J70" si="28">IF(ISBLANK(C9),C7,C9)</f>
        <v>0</v>
      </c>
      <c r="D70" s="11">
        <f t="shared" si="28"/>
        <v>0.11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130</v>
      </c>
      <c r="C71" s="11">
        <f t="shared" ref="C71:J71" si="29">IF(ISBLANK(C9),C7,C9)</f>
        <v>0</v>
      </c>
      <c r="D71" s="11">
        <f t="shared" si="29"/>
        <v>0.11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131</v>
      </c>
      <c r="C72" s="11">
        <f t="shared" ref="C72:J72" si="30">IF(ISBLANK(C9),C7,C9)</f>
        <v>0</v>
      </c>
      <c r="D72" s="11">
        <f t="shared" si="30"/>
        <v>0.11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132</v>
      </c>
      <c r="C73" s="11">
        <f t="shared" ref="C73:J73" si="31">IF(ISBLANK(C9),C7,C9)</f>
        <v>0</v>
      </c>
      <c r="D73" s="11">
        <f t="shared" si="31"/>
        <v>0.11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133</v>
      </c>
      <c r="C75" s="6">
        <f t="shared" ref="C75:J79" si="32">C63*C69</f>
        <v>0</v>
      </c>
      <c r="D75" s="6">
        <f t="shared" si="32"/>
        <v>93.401360496164884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134</v>
      </c>
      <c r="C76" s="6">
        <f t="shared" si="32"/>
        <v>0</v>
      </c>
      <c r="D76" s="6">
        <f t="shared" si="32"/>
        <v>96.577006753034496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135</v>
      </c>
      <c r="C77" s="6">
        <f t="shared" si="32"/>
        <v>0</v>
      </c>
      <c r="D77" s="6">
        <f t="shared" si="32"/>
        <v>99.570893962378548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136</v>
      </c>
      <c r="C78" s="6">
        <f t="shared" si="32"/>
        <v>0</v>
      </c>
      <c r="D78" s="6">
        <f t="shared" si="32"/>
        <v>102.35887899332515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137</v>
      </c>
      <c r="C79" s="6">
        <f t="shared" si="32"/>
        <v>0</v>
      </c>
      <c r="D79" s="6">
        <f t="shared" si="32"/>
        <v>104.91785096815828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138</v>
      </c>
      <c r="C81" s="6">
        <f>C75*(1-Inputs!B22)</f>
        <v>0</v>
      </c>
      <c r="D81" s="6">
        <f>D75*(1-Inputs!B22)</f>
        <v>67.248979557238712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139</v>
      </c>
      <c r="C82" s="6">
        <f>C76*(1-Inputs!B22)</f>
        <v>0</v>
      </c>
      <c r="D82" s="6">
        <f>D76*(1-Inputs!B22)</f>
        <v>69.535444862184832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140</v>
      </c>
      <c r="C83" s="6">
        <f>C77*(1-Inputs!B22)</f>
        <v>0</v>
      </c>
      <c r="D83" s="6">
        <f>D77*(1-Inputs!B22)</f>
        <v>71.691043652912555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141</v>
      </c>
      <c r="C84" s="6">
        <f>C78*(1-Inputs!B22)</f>
        <v>0</v>
      </c>
      <c r="D84" s="6">
        <f>D78*(1-Inputs!B22)</f>
        <v>73.698392875194102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142</v>
      </c>
      <c r="C85" s="6">
        <f>C79*(1-Inputs!B22)</f>
        <v>0</v>
      </c>
      <c r="D85" s="6">
        <f>D79*(1-Inputs!B22)</f>
        <v>75.540852697073959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143</v>
      </c>
      <c r="C87" s="6">
        <f t="shared" ref="C87:J87" si="33">C63*MAX(IF(ISBLANK(C26),C12,C26),0)</f>
        <v>0</v>
      </c>
      <c r="D87" s="6">
        <f t="shared" si="33"/>
        <v>16.982065544757251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144</v>
      </c>
      <c r="C88" s="6">
        <f t="shared" ref="C88:J88" si="34">C64*MAX(IF(ISBLANK(C26),C12,C26),0)</f>
        <v>0</v>
      </c>
      <c r="D88" s="6">
        <f t="shared" si="34"/>
        <v>17.559455773278998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145</v>
      </c>
      <c r="C89" s="6">
        <f t="shared" ref="C89:J89" si="35">C65*MAX(IF(ISBLANK(C26),C12,C26),0)</f>
        <v>0</v>
      </c>
      <c r="D89" s="6">
        <f t="shared" si="35"/>
        <v>18.103798902250645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146</v>
      </c>
      <c r="C90" s="6">
        <f t="shared" ref="C90:J90" si="36">C66*MAX(IF(ISBLANK(C26),C12,C26),0)</f>
        <v>0</v>
      </c>
      <c r="D90" s="6">
        <f t="shared" si="36"/>
        <v>18.610705271513662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147</v>
      </c>
      <c r="C91" s="6">
        <f t="shared" ref="C91:J91" si="37">C67*MAX(IF(ISBLANK(C26),C12,C26),0)</f>
        <v>0</v>
      </c>
      <c r="D91" s="6">
        <f t="shared" si="37"/>
        <v>19.075972903301505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148</v>
      </c>
      <c r="C93" s="6">
        <f t="shared" ref="C93:J97" si="38">C81-C87</f>
        <v>0</v>
      </c>
      <c r="D93" s="6">
        <f t="shared" si="38"/>
        <v>50.266914012481465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149</v>
      </c>
      <c r="C94" s="6">
        <f t="shared" si="38"/>
        <v>0</v>
      </c>
      <c r="D94" s="6">
        <f t="shared" si="38"/>
        <v>51.975989088905834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150</v>
      </c>
      <c r="C95" s="6">
        <f t="shared" si="38"/>
        <v>0</v>
      </c>
      <c r="D95" s="6">
        <f t="shared" si="38"/>
        <v>53.58724475066191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151</v>
      </c>
      <c r="C96" s="6">
        <f t="shared" si="38"/>
        <v>0</v>
      </c>
      <c r="D96" s="6">
        <f t="shared" si="38"/>
        <v>55.087687603680436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152</v>
      </c>
      <c r="C97" s="6">
        <f t="shared" si="38"/>
        <v>0</v>
      </c>
      <c r="D97" s="6">
        <f t="shared" si="38"/>
        <v>56.464879793772454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153</v>
      </c>
      <c r="C99" s="6">
        <f t="shared" ref="C99:J99" si="39">C93/(((1+C16)*(1+C16+(C104-C16)*1/5)*(1+C16+(C104-C16)*2/5)*(1+C16+(C104-C16)*3/5)*(1+C16+(C104-C16)*4/5))*(1+C104)^1)</f>
        <v>0</v>
      </c>
      <c r="D99" s="6">
        <f t="shared" si="39"/>
        <v>32.35687754219272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154</v>
      </c>
      <c r="C100" s="6">
        <f t="shared" ref="C100:J100" si="40">C94/(((1+C16)*(1+C16+(C104-C16)*1/5)*(1+C16+(C104-C16)*2/5)*(1+C16+(C104-C16)*3/5)*(1+C16+(C104-C16)*4/5))*(1+C104)^2)</f>
        <v>0</v>
      </c>
      <c r="D100" s="6">
        <f t="shared" si="40"/>
        <v>31.077176078368812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155</v>
      </c>
      <c r="C101" s="6">
        <f t="shared" ref="C101:J101" si="41">C95/(((1+C16)*(1+C16+(C104-C16)*1/5)*(1+C16+(C104-C16)*2/5)*(1+C16+(C104-C16)*3/5)*(1+C16+(C104-C16)*4/5))*(1+C104)^3)</f>
        <v>0</v>
      </c>
      <c r="D101" s="6">
        <f t="shared" si="41"/>
        <v>29.761486428079674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156</v>
      </c>
      <c r="C102" s="6">
        <f t="shared" ref="C102:J102" si="42">C96/(((1+C16)*(1+C16+(C104-C16)*1/5)*(1+C16+(C104-C16)*2/5)*(1+C16+(C104-C16)*3/5)*(1+C16+(C104-C16)*4/5))*(1+C104)^4)</f>
        <v>0</v>
      </c>
      <c r="D102" s="6">
        <f t="shared" si="42"/>
        <v>28.418564528480914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157</v>
      </c>
      <c r="C103" s="6">
        <f t="shared" ref="C103:J103" si="43">C97/(((1+C16)*(1+C16+(C104-C16)*1/5)*(1+C16+(C104-C16)*2/5)*(1+C16+(C104-C16)*3/5)*(1+C16+(C104-C16)*4/5))*(1+C104)^5)</f>
        <v>0</v>
      </c>
      <c r="D103" s="6">
        <f t="shared" si="43"/>
        <v>27.057047679638917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158</v>
      </c>
      <c r="C104" s="11">
        <f>MAX((Inputs!B18+((1+(1-Inputs!B22)*(Inputs!B36/(1-Inputs!B36)))/(1+(1-Inputs!B22)*0.25))*Inputs!B19+IF(ISBLANK(C17),Inputs!B24,C17)+Inputs!B25+Inputs!B39)*(1-Inputs!B36)+Inputs!B38*Inputs!B36,C15)</f>
        <v>7.6578235237883749E-2</v>
      </c>
      <c r="D104" s="11">
        <f>MAX((Inputs!B18+((1+(1-Inputs!B22)*(Inputs!B36/(1-Inputs!B36)))/(1+(1-Inputs!B22)*0.25))*Inputs!B19+IF(ISBLANK(D17),Inputs!B24,D17)+Inputs!B25+Inputs!B39)*(1-Inputs!B36)+Inputs!B38*Inputs!B36,D15)</f>
        <v>7.6578235237883749E-2</v>
      </c>
      <c r="E104" s="11">
        <f>MAX((Inputs!B18+((1+(1-Inputs!B22)*(Inputs!B36/(1-Inputs!B36)))/(1+(1-Inputs!B22)*0.25))*Inputs!B19+IF(ISBLANK(E17),Inputs!B24,E17)+Inputs!B25+Inputs!B39)*(1-Inputs!B36)+Inputs!B38*Inputs!B36,E15)</f>
        <v>7.6578235237883749E-2</v>
      </c>
      <c r="F104" s="11">
        <f>MAX((Inputs!B18+((1+(1-Inputs!B22)*(Inputs!B36/(1-Inputs!B36)))/(1+(1-Inputs!B22)*0.25))*Inputs!B19+IF(ISBLANK(F17),Inputs!B24,F17)+Inputs!B25+Inputs!B39)*(1-Inputs!B36)+Inputs!B38*Inputs!B36,F15)</f>
        <v>7.6578235237883749E-2</v>
      </c>
      <c r="G104" s="11">
        <f>MAX((Inputs!B18+((1+(1-Inputs!B22)*(Inputs!B36/(1-Inputs!B36)))/(1+(1-Inputs!B22)*0.25))*Inputs!B19+IF(ISBLANK(G17),Inputs!B24,G17)+Inputs!B25+Inputs!B39)*(1-Inputs!B36)+Inputs!B38*Inputs!B36,G15)</f>
        <v>7.6578235237883749E-2</v>
      </c>
      <c r="H104" s="11">
        <f>MAX((Inputs!B18+((1+(1-Inputs!B22)*(Inputs!B36/(1-Inputs!B36)))/(1+(1-Inputs!B22)*0.25))*Inputs!B19+IF(ISBLANK(H17),Inputs!B24,H17)+Inputs!B25+Inputs!B39)*(1-Inputs!B36)+Inputs!B38*Inputs!B36,H15)</f>
        <v>7.6578235237883749E-2</v>
      </c>
      <c r="I104" s="11">
        <f>MAX((Inputs!B18+((1+(1-Inputs!B22)*(Inputs!B36/(1-Inputs!B36)))/(1+(1-Inputs!B22)*0.25))*Inputs!B19+IF(ISBLANK(I17),Inputs!B24,I17)+Inputs!B25+Inputs!B39)*(1-Inputs!B36)+Inputs!B38*Inputs!B36,I15)</f>
        <v>7.6578235237883749E-2</v>
      </c>
      <c r="J104" s="11">
        <f>MAX((Inputs!B18+((1+(1-Inputs!B22)*(Inputs!B36/(1-Inputs!B36)))/(1+(1-Inputs!B22)*0.25))*Inputs!B19+IF(ISBLANK(J17),Inputs!B24,J17)+Inputs!B25+Inputs!B39)*(1-Inputs!B36)+Inputs!B38*Inputs!B36,J15)</f>
        <v>7.6578235237883749E-2</v>
      </c>
    </row>
    <row r="105" spans="1:11" x14ac:dyDescent="0.25">
      <c r="A105" s="4" t="s">
        <v>159</v>
      </c>
      <c r="C105" s="6">
        <f t="shared" ref="C105:J105" si="44">SUM(C57:C61,C99:C103)</f>
        <v>0</v>
      </c>
      <c r="D105" s="6">
        <f t="shared" si="44"/>
        <v>259.73478772148695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160</v>
      </c>
      <c r="C106" s="6">
        <f t="shared" ref="C106:J106" si="45">IF(C5=0,0,C97*(1+C13)/(C104-C13))</f>
        <v>0</v>
      </c>
      <c r="D106" s="6">
        <f t="shared" si="45"/>
        <v>1122.1109353913487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161</v>
      </c>
      <c r="C107" s="6">
        <f t="shared" ref="C107:J107" si="46">C106/(((1+C16)*(1+C16+(C104-C16)*1/5)*(1+C16+(C104-C16)*2/5)*(1+C16+(C104-C16)*3/5)*(1+C16+(C104-C16)*4/5))*(1+C104)^5)</f>
        <v>0</v>
      </c>
      <c r="D107" s="6">
        <f t="shared" si="46"/>
        <v>537.69722332919014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162</v>
      </c>
      <c r="C109" s="20">
        <f t="shared" ref="C109:J109" si="47">C105+C107</f>
        <v>0</v>
      </c>
      <c r="D109" s="20">
        <f t="shared" si="47"/>
        <v>797.43201105067715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797.43201105067715</v>
      </c>
    </row>
    <row r="110" spans="1:11" x14ac:dyDescent="0.25">
      <c r="A110" s="4" t="s">
        <v>163</v>
      </c>
      <c r="K110" s="11">
        <f>IFERROR(SUMPRODUCT(C109:J109,C16:J16)/SUM(C109:J109),0)</f>
        <v>7.5786886163442285E-2</v>
      </c>
    </row>
    <row r="111" spans="1:11" x14ac:dyDescent="0.25">
      <c r="A111" s="4" t="s">
        <v>164</v>
      </c>
      <c r="K111" s="5">
        <f>3533.9-SUM(B135:J135)</f>
        <v>1535.4</v>
      </c>
    </row>
    <row r="112" spans="1:11" x14ac:dyDescent="0.25">
      <c r="A112" s="4" t="s">
        <v>165</v>
      </c>
      <c r="K112" s="5">
        <v>0</v>
      </c>
    </row>
    <row r="113" spans="1:11" x14ac:dyDescent="0.25">
      <c r="A113" s="4" t="s">
        <v>166</v>
      </c>
      <c r="K113" s="5">
        <v>0</v>
      </c>
    </row>
    <row r="114" spans="1:11" x14ac:dyDescent="0.25">
      <c r="A114" s="4" t="s">
        <v>167</v>
      </c>
      <c r="K114" s="5">
        <f>0+SUM(B134:J134)</f>
        <v>7251.4359000000004</v>
      </c>
    </row>
    <row r="115" spans="1:11" x14ac:dyDescent="0.25">
      <c r="A115" s="4" t="s">
        <v>168</v>
      </c>
      <c r="K115" s="5">
        <v>0</v>
      </c>
    </row>
    <row r="116" spans="1:11" x14ac:dyDescent="0.25">
      <c r="A116" s="4" t="s">
        <v>169</v>
      </c>
      <c r="K116" s="5">
        <v>0</v>
      </c>
    </row>
    <row r="117" spans="1:11" x14ac:dyDescent="0.25">
      <c r="A117" s="4" t="s">
        <v>170</v>
      </c>
      <c r="K117" s="5">
        <v>0</v>
      </c>
    </row>
    <row r="118" spans="1:11" x14ac:dyDescent="0.25">
      <c r="A118" s="4" t="s">
        <v>171</v>
      </c>
      <c r="K118" s="5">
        <v>0</v>
      </c>
    </row>
    <row r="119" spans="1:11" x14ac:dyDescent="0.25">
      <c r="A119" s="4" t="s">
        <v>172</v>
      </c>
      <c r="K119" s="20">
        <f>K109+K113+K114+K115+K116+K117+K118+K121-K111-K112</f>
        <v>6456.4679110506768</v>
      </c>
    </row>
    <row r="120" spans="1:11" x14ac:dyDescent="0.25">
      <c r="A120" s="4" t="s">
        <v>173</v>
      </c>
      <c r="K120" s="6">
        <f>Inputs!B11</f>
        <v>69</v>
      </c>
    </row>
    <row r="121" spans="1:11" x14ac:dyDescent="0.25">
      <c r="A121" s="4" t="s">
        <v>174</v>
      </c>
      <c r="K121" s="21">
        <f>-(Inputs!B41+Inputs!B42)</f>
        <v>-57</v>
      </c>
    </row>
    <row r="122" spans="1:11" ht="15.75" customHeight="1" x14ac:dyDescent="0.25">
      <c r="A122" s="4" t="s">
        <v>175</v>
      </c>
      <c r="K122" s="22">
        <f>K119/K120</f>
        <v>93.57199871087937</v>
      </c>
    </row>
    <row r="124" spans="1:11" x14ac:dyDescent="0.25">
      <c r="A124" t="s">
        <v>176</v>
      </c>
    </row>
    <row r="125" spans="1:11" x14ac:dyDescent="0.25">
      <c r="A125" t="s">
        <v>177</v>
      </c>
      <c r="B125" t="s">
        <v>178</v>
      </c>
    </row>
    <row r="126" spans="1:11" x14ac:dyDescent="0.25">
      <c r="A126" t="s">
        <v>179</v>
      </c>
      <c r="B126" t="s">
        <v>180</v>
      </c>
    </row>
    <row r="127" spans="1:11" x14ac:dyDescent="0.25">
      <c r="A127" t="s">
        <v>181</v>
      </c>
      <c r="B127" t="s">
        <v>8</v>
      </c>
    </row>
    <row r="128" spans="1:11" x14ac:dyDescent="0.25">
      <c r="A128" t="s">
        <v>182</v>
      </c>
      <c r="B128">
        <v>1</v>
      </c>
    </row>
    <row r="129" spans="1:2" x14ac:dyDescent="0.25">
      <c r="A129" t="s">
        <v>183</v>
      </c>
      <c r="B129">
        <v>11945.6</v>
      </c>
    </row>
    <row r="130" spans="1:2" x14ac:dyDescent="0.25">
      <c r="A130" t="s">
        <v>184</v>
      </c>
      <c r="B130">
        <v>1998.5</v>
      </c>
    </row>
    <row r="131" spans="1:2" x14ac:dyDescent="0.25">
      <c r="A131" t="s">
        <v>185</v>
      </c>
      <c r="B131">
        <f>B129-B130</f>
        <v>9947.1</v>
      </c>
    </row>
    <row r="132" spans="1:2" x14ac:dyDescent="0.25">
      <c r="A132" t="s">
        <v>186</v>
      </c>
      <c r="B132">
        <v>0.72899999999999998</v>
      </c>
    </row>
    <row r="133" spans="1:2" x14ac:dyDescent="0.25">
      <c r="A133" t="s">
        <v>187</v>
      </c>
      <c r="B133">
        <f>B131*B132</f>
        <v>7251.4359000000004</v>
      </c>
    </row>
    <row r="134" spans="1:2" x14ac:dyDescent="0.25">
      <c r="A134" t="s">
        <v>188</v>
      </c>
      <c r="B134">
        <f>B133*B128*(1+B143)</f>
        <v>7251.4359000000004</v>
      </c>
    </row>
    <row r="135" spans="1:2" x14ac:dyDescent="0.25">
      <c r="A135" t="s">
        <v>189</v>
      </c>
      <c r="B135">
        <f>B130*B128</f>
        <v>1998.5</v>
      </c>
    </row>
    <row r="136" spans="1:2" x14ac:dyDescent="0.25">
      <c r="A136" t="s">
        <v>190</v>
      </c>
    </row>
    <row r="137" spans="1:2" x14ac:dyDescent="0.25">
      <c r="A137" t="s">
        <v>191</v>
      </c>
      <c r="B137" t="s">
        <v>192</v>
      </c>
    </row>
    <row r="138" spans="1:2" x14ac:dyDescent="0.25">
      <c r="A138" t="s">
        <v>193</v>
      </c>
      <c r="B138" t="s">
        <v>194</v>
      </c>
    </row>
    <row r="139" spans="1:2" x14ac:dyDescent="0.25">
      <c r="A139" t="s">
        <v>195</v>
      </c>
      <c r="B139" t="s">
        <v>196</v>
      </c>
    </row>
    <row r="140" spans="1:2" x14ac:dyDescent="0.25">
      <c r="A140" t="s">
        <v>197</v>
      </c>
      <c r="B140" t="s">
        <v>198</v>
      </c>
    </row>
    <row r="141" spans="1:2" x14ac:dyDescent="0.25">
      <c r="A141" t="s">
        <v>199</v>
      </c>
      <c r="B141" t="s">
        <v>200</v>
      </c>
    </row>
    <row r="142" spans="1:2" x14ac:dyDescent="0.25">
      <c r="A142" t="s">
        <v>201</v>
      </c>
      <c r="B142" t="s">
        <v>202</v>
      </c>
    </row>
    <row r="143" spans="1:2" x14ac:dyDescent="0.25">
      <c r="A143" t="s">
        <v>203</v>
      </c>
      <c r="B143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3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204</v>
      </c>
    </row>
    <row r="2" spans="1:11" x14ac:dyDescent="0.25">
      <c r="A2" s="2" t="s">
        <v>56</v>
      </c>
    </row>
    <row r="3" spans="1:11" x14ac:dyDescent="0.25">
      <c r="C3" s="13" t="s">
        <v>57</v>
      </c>
      <c r="D3" s="13" t="s">
        <v>58</v>
      </c>
      <c r="E3" s="13" t="s">
        <v>59</v>
      </c>
      <c r="F3" s="13" t="s">
        <v>60</v>
      </c>
      <c r="G3" s="13" t="s">
        <v>61</v>
      </c>
      <c r="H3" s="13" t="s">
        <v>62</v>
      </c>
      <c r="I3" s="13" t="s">
        <v>63</v>
      </c>
      <c r="J3" s="13" t="s">
        <v>64</v>
      </c>
      <c r="K3" s="13" t="s">
        <v>65</v>
      </c>
    </row>
    <row r="4" spans="1:11" x14ac:dyDescent="0.25">
      <c r="A4" s="4" t="s">
        <v>66</v>
      </c>
      <c r="C4" s="14" t="s">
        <v>67</v>
      </c>
      <c r="D4" s="14" t="s">
        <v>58</v>
      </c>
      <c r="E4" s="14"/>
      <c r="F4" s="14"/>
      <c r="G4" s="14"/>
      <c r="H4" s="14"/>
      <c r="I4" s="14"/>
      <c r="J4" s="14"/>
    </row>
    <row r="5" spans="1:11" x14ac:dyDescent="0.25">
      <c r="A5" s="4" t="s">
        <v>68</v>
      </c>
      <c r="C5" s="5"/>
      <c r="D5" s="5">
        <v>673</v>
      </c>
      <c r="E5" s="5"/>
      <c r="F5" s="5"/>
      <c r="G5" s="5"/>
      <c r="H5" s="5"/>
      <c r="I5" s="5"/>
      <c r="J5" s="5"/>
    </row>
    <row r="6" spans="1:11" x14ac:dyDescent="0.25">
      <c r="A6" s="4" t="s">
        <v>69</v>
      </c>
      <c r="C6" s="7"/>
      <c r="D6" s="7">
        <v>0.06</v>
      </c>
      <c r="E6" s="7"/>
      <c r="F6" s="7"/>
      <c r="G6" s="7"/>
      <c r="H6" s="7"/>
      <c r="I6" s="7"/>
      <c r="J6" s="7"/>
    </row>
    <row r="7" spans="1:11" x14ac:dyDescent="0.25">
      <c r="A7" s="4" t="s">
        <v>70</v>
      </c>
      <c r="C7" s="7"/>
      <c r="D7" s="7">
        <v>8.4580066743335097E-2</v>
      </c>
      <c r="E7" s="7"/>
      <c r="F7" s="7"/>
      <c r="G7" s="7"/>
      <c r="H7" s="7"/>
      <c r="I7" s="7"/>
      <c r="J7" s="7"/>
    </row>
    <row r="8" spans="1:11" x14ac:dyDescent="0.25">
      <c r="A8" s="4" t="s">
        <v>71</v>
      </c>
      <c r="C8" s="15"/>
      <c r="D8" s="15">
        <v>5.6000000000000001E-2</v>
      </c>
      <c r="E8" s="15"/>
      <c r="F8" s="15"/>
      <c r="G8" s="15"/>
      <c r="H8" s="15"/>
      <c r="I8" s="15"/>
      <c r="J8" s="15"/>
    </row>
    <row r="9" spans="1:11" x14ac:dyDescent="0.25">
      <c r="A9" s="4" t="s">
        <v>72</v>
      </c>
      <c r="C9" s="7"/>
      <c r="D9" s="7">
        <v>0.13</v>
      </c>
      <c r="E9" s="7"/>
      <c r="F9" s="7"/>
      <c r="G9" s="7"/>
      <c r="H9" s="7"/>
      <c r="I9" s="7"/>
      <c r="J9" s="7"/>
    </row>
    <row r="10" spans="1:11" x14ac:dyDescent="0.25">
      <c r="A10" s="4" t="s">
        <v>73</v>
      </c>
      <c r="C10" s="7"/>
      <c r="D10" s="7">
        <v>0.16</v>
      </c>
      <c r="E10" s="7"/>
      <c r="F10" s="7"/>
      <c r="G10" s="7"/>
      <c r="H10" s="7"/>
      <c r="I10" s="7"/>
      <c r="J10" s="7"/>
    </row>
    <row r="11" spans="1:11" x14ac:dyDescent="0.25">
      <c r="A11" s="4" t="s">
        <v>74</v>
      </c>
      <c r="C11" s="7"/>
      <c r="D11" s="7">
        <v>0.13400000000000001</v>
      </c>
      <c r="E11" s="7"/>
      <c r="F11" s="7"/>
      <c r="G11" s="7"/>
      <c r="H11" s="7"/>
      <c r="I11" s="7"/>
      <c r="J11" s="7"/>
    </row>
    <row r="12" spans="1:11" x14ac:dyDescent="0.25">
      <c r="A12" s="4" t="s">
        <v>75</v>
      </c>
      <c r="C12" s="7"/>
      <c r="D12" s="7">
        <v>2.5000000000000001E-2</v>
      </c>
      <c r="E12" s="7"/>
      <c r="F12" s="7"/>
      <c r="G12" s="7"/>
      <c r="H12" s="7"/>
      <c r="I12" s="7"/>
      <c r="J12" s="7"/>
    </row>
    <row r="13" spans="1:11" x14ac:dyDescent="0.25">
      <c r="A13" s="4" t="s">
        <v>76</v>
      </c>
      <c r="C13" s="7"/>
      <c r="D13" s="7">
        <v>2.9763344457222521E-2</v>
      </c>
      <c r="E13" s="7"/>
      <c r="F13" s="7"/>
      <c r="G13" s="7"/>
      <c r="H13" s="7"/>
      <c r="I13" s="7"/>
      <c r="J13" s="7"/>
    </row>
    <row r="14" spans="1:11" x14ac:dyDescent="0.25">
      <c r="A14" s="4" t="s">
        <v>77</v>
      </c>
      <c r="C14" s="9"/>
      <c r="D14" s="9">
        <v>0.84099999999999997</v>
      </c>
      <c r="E14" s="9"/>
      <c r="F14" s="9"/>
      <c r="G14" s="9"/>
      <c r="H14" s="9"/>
      <c r="I14" s="9"/>
      <c r="J14" s="9"/>
    </row>
    <row r="15" spans="1:11" x14ac:dyDescent="0.25">
      <c r="A15" s="4" t="s">
        <v>78</v>
      </c>
      <c r="C15" s="7"/>
      <c r="D15" s="7">
        <v>0</v>
      </c>
      <c r="E15" s="7"/>
      <c r="F15" s="7"/>
      <c r="G15" s="7"/>
      <c r="H15" s="7"/>
      <c r="I15" s="7"/>
      <c r="J15" s="7"/>
    </row>
    <row r="16" spans="1:11" x14ac:dyDescent="0.25">
      <c r="A16" s="4" t="s">
        <v>79</v>
      </c>
      <c r="C16" s="11">
        <f>MAX((MAX(Inputs!B18+((1-0.33)*C14*(1+(1-Inputs!B22)*Inputs!B21)+0.33)*Inputs!B19+IF(ISBLANK(C17),Inputs!B24,C17)+Inputs!B25+Inputs!B39,MIN(Inputs!B27,0.08)+0.025))*Inputs!B29+Inputs!B28*Inputs!B30,C15)</f>
        <v>6.2288712241653423E-2</v>
      </c>
      <c r="D16" s="11">
        <f>MAX((MAX(Inputs!B18+((1-0.33)*D14*(1+(1-Inputs!B22)*Inputs!B21)+0.33)*Inputs!B19+IF(ISBLANK(D17),Inputs!B24,D17)+Inputs!B25+Inputs!B39,MIN(Inputs!B27,0.08)+0.025))*Inputs!B29+Inputs!B28*Inputs!B30,D15)</f>
        <v>7.5786886163442285E-2</v>
      </c>
      <c r="E16" s="11">
        <f>MAX((MAX(Inputs!B18+((1-0.33)*E14*(1+(1-Inputs!B22)*Inputs!B21)+0.33)*Inputs!B19+IF(ISBLANK(E17),Inputs!B24,E17)+Inputs!B25+Inputs!B39,MIN(Inputs!B27,0.08)+0.025))*Inputs!B29+Inputs!B28*Inputs!B30,E15)</f>
        <v>6.2288712241653423E-2</v>
      </c>
      <c r="F16" s="11">
        <f>MAX((MAX(Inputs!B18+((1-0.33)*F14*(1+(1-Inputs!B22)*Inputs!B21)+0.33)*Inputs!B19+IF(ISBLANK(F17),Inputs!B24,F17)+Inputs!B25+Inputs!B39,MIN(Inputs!B27,0.08)+0.025))*Inputs!B29+Inputs!B28*Inputs!B30,F15)</f>
        <v>6.2288712241653423E-2</v>
      </c>
      <c r="G16" s="11">
        <f>MAX((MAX(Inputs!B18+((1-0.33)*G14*(1+(1-Inputs!B22)*Inputs!B21)+0.33)*Inputs!B19+IF(ISBLANK(G17),Inputs!B24,G17)+Inputs!B25+Inputs!B39,MIN(Inputs!B27,0.08)+0.025))*Inputs!B29+Inputs!B28*Inputs!B30,G15)</f>
        <v>6.2288712241653423E-2</v>
      </c>
      <c r="H16" s="11">
        <f>MAX((MAX(Inputs!B18+((1-0.33)*H14*(1+(1-Inputs!B22)*Inputs!B21)+0.33)*Inputs!B19+IF(ISBLANK(H17),Inputs!B24,H17)+Inputs!B25+Inputs!B39,MIN(Inputs!B27,0.08)+0.025))*Inputs!B29+Inputs!B28*Inputs!B30,H15)</f>
        <v>6.2288712241653423E-2</v>
      </c>
      <c r="I16" s="11">
        <f>MAX((MAX(Inputs!B18+((1-0.33)*I14*(1+(1-Inputs!B22)*Inputs!B21)+0.33)*Inputs!B19+IF(ISBLANK(I17),Inputs!B24,I17)+Inputs!B25+Inputs!B39,MIN(Inputs!B27,0.08)+0.025))*Inputs!B29+Inputs!B28*Inputs!B30,I15)</f>
        <v>6.2288712241653423E-2</v>
      </c>
      <c r="J16" s="11">
        <f>MAX((MAX(Inputs!B18+((1-0.33)*J14*(1+(1-Inputs!B22)*Inputs!B21)+0.33)*Inputs!B19+IF(ISBLANK(J17),Inputs!B24,J17)+Inputs!B25+Inputs!B39,MIN(Inputs!B27,0.08)+0.025))*Inputs!B29+Inputs!B28*Inputs!B30,J15)</f>
        <v>6.2288712241653423E-2</v>
      </c>
    </row>
    <row r="17" spans="1:10" x14ac:dyDescent="0.25">
      <c r="A17" s="16" t="s">
        <v>80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81</v>
      </c>
      <c r="C18" s="36" t="s">
        <v>82</v>
      </c>
      <c r="D18" s="18" t="s">
        <v>205</v>
      </c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84</v>
      </c>
      <c r="C19" s="18"/>
      <c r="D19" s="18" t="s">
        <v>206</v>
      </c>
      <c r="E19" s="18"/>
      <c r="F19" s="18"/>
      <c r="G19" s="18"/>
      <c r="H19" s="18"/>
      <c r="I19" s="18"/>
      <c r="J19" s="18"/>
    </row>
    <row r="21" spans="1:10" x14ac:dyDescent="0.25">
      <c r="A21" s="4" t="s">
        <v>86</v>
      </c>
      <c r="C21" s="6">
        <f t="shared" ref="C21:J21" si="0">C5*(1+C6)^1</f>
        <v>0</v>
      </c>
      <c r="D21" s="6">
        <f t="shared" si="0"/>
        <v>713.38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87</v>
      </c>
      <c r="C22" s="6">
        <f t="shared" ref="C22:J22" si="1">C5*(1+C6)^2</f>
        <v>0</v>
      </c>
      <c r="D22" s="6">
        <f t="shared" si="1"/>
        <v>756.18280000000016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88</v>
      </c>
      <c r="C23" s="6">
        <f t="shared" ref="C23:J23" si="2">C5*(1+C6)^3</f>
        <v>0</v>
      </c>
      <c r="D23" s="6">
        <f t="shared" si="2"/>
        <v>801.55376800000022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89</v>
      </c>
      <c r="C24" s="6">
        <f t="shared" ref="C24:J24" si="3">C5*(1+C6)^4</f>
        <v>0</v>
      </c>
      <c r="D24" s="6">
        <f t="shared" si="3"/>
        <v>849.64699408000024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90</v>
      </c>
      <c r="C25" s="6">
        <f t="shared" ref="C25:J25" si="4">C5*(1+C6)^5</f>
        <v>0</v>
      </c>
      <c r="D25" s="6">
        <f t="shared" si="4"/>
        <v>900.62581372480031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91</v>
      </c>
      <c r="C26" s="7"/>
      <c r="D26" s="7">
        <v>0.02</v>
      </c>
      <c r="E26" s="7"/>
      <c r="F26" s="7"/>
      <c r="G26" s="7"/>
      <c r="H26" s="7"/>
      <c r="I26" s="7"/>
      <c r="J26" s="7"/>
    </row>
    <row r="27" spans="1:10" x14ac:dyDescent="0.25">
      <c r="A27" s="4" t="s">
        <v>92</v>
      </c>
      <c r="C27" s="11">
        <f t="shared" ref="C27:J27" si="5">IF(ISBLANK(C9),C7,C7+(C9-C7)*(0)/4)</f>
        <v>0</v>
      </c>
      <c r="D27" s="11">
        <f t="shared" si="5"/>
        <v>8.4580066743335097E-2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93</v>
      </c>
      <c r="C28" s="11">
        <f t="shared" ref="C28:J28" si="6">IF(ISBLANK(C9),C7,C7+(C9-C7)*(1)/4)</f>
        <v>0</v>
      </c>
      <c r="D28" s="11">
        <f t="shared" si="6"/>
        <v>9.5935050057501331E-2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94</v>
      </c>
      <c r="C29" s="11">
        <f t="shared" ref="C29:J29" si="7">IF(ISBLANK(C9),C7,C7+(C9-C7)*(2)/4)</f>
        <v>0</v>
      </c>
      <c r="D29" s="11">
        <f t="shared" si="7"/>
        <v>0.10729003337166755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95</v>
      </c>
      <c r="C30" s="11">
        <f t="shared" ref="C30:J30" si="8">IF(ISBLANK(C9),C7,C7+(C9-C7)*(3)/4)</f>
        <v>0</v>
      </c>
      <c r="D30" s="11">
        <f t="shared" si="8"/>
        <v>0.11864501668583377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96</v>
      </c>
      <c r="C31" s="11">
        <f t="shared" ref="C31:J31" si="9">IF(ISBLANK(C9),C7,C7+(C9-C7)*(4)/4)</f>
        <v>0</v>
      </c>
      <c r="D31" s="11">
        <f t="shared" si="9"/>
        <v>0.13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97</v>
      </c>
      <c r="C33" s="6">
        <f t="shared" ref="C33:J37" si="10">C21*C27</f>
        <v>0</v>
      </c>
      <c r="D33" s="6">
        <f t="shared" si="10"/>
        <v>60.33772801336039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98</v>
      </c>
      <c r="C34" s="6">
        <f t="shared" si="10"/>
        <v>0</v>
      </c>
      <c r="D34" s="6">
        <f t="shared" si="10"/>
        <v>72.544434770621535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99</v>
      </c>
      <c r="C35" s="6">
        <f t="shared" si="10"/>
        <v>0</v>
      </c>
      <c r="D35" s="6">
        <f t="shared" si="10"/>
        <v>85.998730517905898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100</v>
      </c>
      <c r="C36" s="6">
        <f t="shared" si="10"/>
        <v>0</v>
      </c>
      <c r="D36" s="6">
        <f t="shared" si="10"/>
        <v>100.80638178969014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101</v>
      </c>
      <c r="C37" s="6">
        <f t="shared" si="10"/>
        <v>0</v>
      </c>
      <c r="D37" s="6">
        <f t="shared" si="10"/>
        <v>117.08135578422404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102</v>
      </c>
      <c r="C39" s="6">
        <f>C33*(1-Inputs!B22)</f>
        <v>0</v>
      </c>
      <c r="D39" s="6">
        <f>D33*(1-Inputs!B22)</f>
        <v>43.443164169619479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103</v>
      </c>
      <c r="C40" s="6">
        <f>C34*(1-Inputs!B22)</f>
        <v>0</v>
      </c>
      <c r="D40" s="6">
        <f>D34*(1-Inputs!B22)</f>
        <v>52.231993034847505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104</v>
      </c>
      <c r="C41" s="6">
        <f>C35*(1-Inputs!B22)</f>
        <v>0</v>
      </c>
      <c r="D41" s="6">
        <f>D35*(1-Inputs!B22)</f>
        <v>61.919085972892248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105</v>
      </c>
      <c r="C42" s="6">
        <f>C36*(1-Inputs!B22)</f>
        <v>0</v>
      </c>
      <c r="D42" s="6">
        <f>D36*(1-Inputs!B22)</f>
        <v>72.580594888576897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106</v>
      </c>
      <c r="C43" s="6">
        <f>C37*(1-Inputs!B22)</f>
        <v>0</v>
      </c>
      <c r="D43" s="6">
        <f>D37*(1-Inputs!B22)</f>
        <v>84.298576164641304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107</v>
      </c>
      <c r="C45" s="6">
        <f t="shared" ref="C45:J45" si="11">C21*IF(ISBLANK(C26),C12,C12+(C26-C12)*(0)/4)</f>
        <v>0</v>
      </c>
      <c r="D45" s="6">
        <f t="shared" si="11"/>
        <v>17.834500000000002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108</v>
      </c>
      <c r="C46" s="6">
        <f t="shared" ref="C46:J46" si="12">C22*IF(ISBLANK(C26),C12,C12+(C26-C12)*(1)/4)</f>
        <v>0</v>
      </c>
      <c r="D46" s="6">
        <f t="shared" si="12"/>
        <v>17.959341500000004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109</v>
      </c>
      <c r="C47" s="6">
        <f t="shared" ref="C47:J47" si="13">C23*IF(ISBLANK(C26),C12,C12+(C26-C12)*(2)/4)</f>
        <v>0</v>
      </c>
      <c r="D47" s="6">
        <f t="shared" si="13"/>
        <v>18.034959780000005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110</v>
      </c>
      <c r="C48" s="6">
        <f t="shared" ref="C48:J48" si="14">C24*IF(ISBLANK(C26),C12,C12+(C26-C12)*(3)/4)</f>
        <v>0</v>
      </c>
      <c r="D48" s="6">
        <f t="shared" si="14"/>
        <v>18.054998624200007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111</v>
      </c>
      <c r="C49" s="6">
        <f t="shared" ref="C49:J49" si="15">C25*IF(ISBLANK(C26),C12,C12+(C26-C12)*(4)/4)</f>
        <v>0</v>
      </c>
      <c r="D49" s="6">
        <f t="shared" si="15"/>
        <v>18.012516274496008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112</v>
      </c>
      <c r="C51" s="6">
        <f t="shared" ref="C51:J55" si="16">C39-C45</f>
        <v>0</v>
      </c>
      <c r="D51" s="6">
        <f t="shared" si="16"/>
        <v>25.608664169619477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113</v>
      </c>
      <c r="C52" s="6">
        <f t="shared" si="16"/>
        <v>0</v>
      </c>
      <c r="D52" s="6">
        <f t="shared" si="16"/>
        <v>34.272651534847498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114</v>
      </c>
      <c r="C53" s="6">
        <f t="shared" si="16"/>
        <v>0</v>
      </c>
      <c r="D53" s="6">
        <f t="shared" si="16"/>
        <v>43.884126192892239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115</v>
      </c>
      <c r="C54" s="6">
        <f t="shared" si="16"/>
        <v>0</v>
      </c>
      <c r="D54" s="6">
        <f t="shared" si="16"/>
        <v>54.525596264376887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116</v>
      </c>
      <c r="C55" s="6">
        <f t="shared" si="16"/>
        <v>0</v>
      </c>
      <c r="D55" s="6">
        <f t="shared" si="16"/>
        <v>66.286059890145296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117</v>
      </c>
      <c r="C57" s="6">
        <f t="shared" ref="C57:J57" si="17">C51/((1+C16))</f>
        <v>0</v>
      </c>
      <c r="D57" s="6">
        <f t="shared" si="17"/>
        <v>23.804588528632426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118</v>
      </c>
      <c r="C58" s="6">
        <f t="shared" ref="C58:J58" si="18">C52/((1+C16)*(1+C16+(C104-C16)*1/5))</f>
        <v>0</v>
      </c>
      <c r="D58" s="6">
        <f t="shared" si="18"/>
        <v>29.609517111575247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119</v>
      </c>
      <c r="C59" s="6">
        <f t="shared" ref="C59:J59" si="19">C53/((1+C16)*(1+C16+(C104-C16)*1/5)*(1+C16+(C104-C16)*2/5))</f>
        <v>0</v>
      </c>
      <c r="D59" s="6">
        <f t="shared" si="19"/>
        <v>35.231980804540029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120</v>
      </c>
      <c r="C60" s="6">
        <f t="shared" ref="C60:J60" si="20">C54/((1+C16)*(1+C16+(C104-C16)*1/5)*(1+C16+(C104-C16)*2/5)*(1+C16+(C104-C16)*3/5))</f>
        <v>0</v>
      </c>
      <c r="D60" s="6">
        <f t="shared" si="20"/>
        <v>40.673556144249517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121</v>
      </c>
      <c r="C61" s="6">
        <f t="shared" ref="C61:J61" si="21">C55/((1+C16)*(1+C16+(C104-C16)*1/5)*(1+C16+(C104-C16)*2/5)*(1+C16+(C104-C16)*3/5)*(1+C16+(C104-C16)*4/5))</f>
        <v>0</v>
      </c>
      <c r="D61" s="6">
        <f t="shared" si="21"/>
        <v>45.935894947548782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122</v>
      </c>
    </row>
    <row r="63" spans="1:10" x14ac:dyDescent="0.25">
      <c r="A63" s="4" t="s">
        <v>123</v>
      </c>
      <c r="C63" s="6">
        <f t="shared" ref="C63:J63" si="22">C25*(1+(C6+(C13-C6)*1/5))</f>
        <v>0</v>
      </c>
      <c r="D63" s="6">
        <f t="shared" si="22"/>
        <v>949.21698004778216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124</v>
      </c>
      <c r="C64" s="6">
        <f t="shared" ref="C64:J64" si="23">C63*(1+(C6+(C13-C6)*2/5))</f>
        <v>0</v>
      </c>
      <c r="D64" s="6">
        <f t="shared" si="23"/>
        <v>994.68954010622508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125</v>
      </c>
      <c r="C65" s="6">
        <f t="shared" ref="C65:J65" si="24">C64*(1+(C6+(C13-C6)*3/5))</f>
        <v>0</v>
      </c>
      <c r="D65" s="6">
        <f t="shared" si="24"/>
        <v>1036.325261514881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126</v>
      </c>
      <c r="C66" s="6">
        <f t="shared" ref="C66:J66" si="25">C65*(1+(C6+(C13-C6)*4/5))</f>
        <v>0</v>
      </c>
      <c r="D66" s="6">
        <f t="shared" si="25"/>
        <v>1073.4367692356107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127</v>
      </c>
      <c r="C67" s="6">
        <f t="shared" ref="C67:J67" si="26">C66*(1+(C6+(C13-C6)*5/5))</f>
        <v>0</v>
      </c>
      <c r="D67" s="6">
        <f t="shared" si="26"/>
        <v>1105.3858375514183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128</v>
      </c>
      <c r="C69" s="11">
        <f t="shared" ref="C69:J69" si="27">IF(ISBLANK(C9),C7,C9)</f>
        <v>0</v>
      </c>
      <c r="D69" s="11">
        <f t="shared" si="27"/>
        <v>0.13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129</v>
      </c>
      <c r="C70" s="11">
        <f t="shared" ref="C70:J70" si="28">IF(ISBLANK(C9),C7,C9)</f>
        <v>0</v>
      </c>
      <c r="D70" s="11">
        <f t="shared" si="28"/>
        <v>0.13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130</v>
      </c>
      <c r="C71" s="11">
        <f t="shared" ref="C71:J71" si="29">IF(ISBLANK(C9),C7,C9)</f>
        <v>0</v>
      </c>
      <c r="D71" s="11">
        <f t="shared" si="29"/>
        <v>0.13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131</v>
      </c>
      <c r="C72" s="11">
        <f t="shared" ref="C72:J72" si="30">IF(ISBLANK(C9),C7,C9)</f>
        <v>0</v>
      </c>
      <c r="D72" s="11">
        <f t="shared" si="30"/>
        <v>0.13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132</v>
      </c>
      <c r="C73" s="11">
        <f t="shared" ref="C73:J73" si="31">IF(ISBLANK(C9),C7,C9)</f>
        <v>0</v>
      </c>
      <c r="D73" s="11">
        <f t="shared" si="31"/>
        <v>0.13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133</v>
      </c>
      <c r="C75" s="6">
        <f t="shared" ref="C75:J79" si="32">C63*C69</f>
        <v>0</v>
      </c>
      <c r="D75" s="6">
        <f t="shared" si="32"/>
        <v>123.39820740621168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134</v>
      </c>
      <c r="C76" s="6">
        <f t="shared" si="32"/>
        <v>0</v>
      </c>
      <c r="D76" s="6">
        <f t="shared" si="32"/>
        <v>129.30964021380927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135</v>
      </c>
      <c r="C77" s="6">
        <f t="shared" si="32"/>
        <v>0</v>
      </c>
      <c r="D77" s="6">
        <f t="shared" si="32"/>
        <v>134.72228399693455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136</v>
      </c>
      <c r="C78" s="6">
        <f t="shared" si="32"/>
        <v>0</v>
      </c>
      <c r="D78" s="6">
        <f t="shared" si="32"/>
        <v>139.54678000062938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137</v>
      </c>
      <c r="C79" s="6">
        <f t="shared" si="32"/>
        <v>0</v>
      </c>
      <c r="D79" s="6">
        <f t="shared" si="32"/>
        <v>143.70015888168439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138</v>
      </c>
      <c r="C81" s="6">
        <f>C75*(1-Inputs!B22)</f>
        <v>0</v>
      </c>
      <c r="D81" s="6">
        <f>D75*(1-Inputs!B22)</f>
        <v>88.846709332472415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139</v>
      </c>
      <c r="C82" s="6">
        <f>C76*(1-Inputs!B22)</f>
        <v>0</v>
      </c>
      <c r="D82" s="6">
        <f>D76*(1-Inputs!B22)</f>
        <v>93.102940953942678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140</v>
      </c>
      <c r="C83" s="6">
        <f>C77*(1-Inputs!B22)</f>
        <v>0</v>
      </c>
      <c r="D83" s="6">
        <f>D77*(1-Inputs!B22)</f>
        <v>97.000044477792869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141</v>
      </c>
      <c r="C84" s="6">
        <f>C78*(1-Inputs!B22)</f>
        <v>0</v>
      </c>
      <c r="D84" s="6">
        <f>D78*(1-Inputs!B22)</f>
        <v>100.47368160045315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142</v>
      </c>
      <c r="C85" s="6">
        <f>C79*(1-Inputs!B22)</f>
        <v>0</v>
      </c>
      <c r="D85" s="6">
        <f>D79*(1-Inputs!B22)</f>
        <v>103.46411439481275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143</v>
      </c>
      <c r="C87" s="6">
        <f t="shared" ref="C87:J87" si="33">C63*MAX(IF(ISBLANK(C26),C12,C26),0)</f>
        <v>0</v>
      </c>
      <c r="D87" s="6">
        <f t="shared" si="33"/>
        <v>18.984339600955643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144</v>
      </c>
      <c r="C88" s="6">
        <f t="shared" ref="C88:J88" si="34">C64*MAX(IF(ISBLANK(C26),C12,C26),0)</f>
        <v>0</v>
      </c>
      <c r="D88" s="6">
        <f t="shared" si="34"/>
        <v>19.893790802124503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145</v>
      </c>
      <c r="C89" s="6">
        <f t="shared" ref="C89:J89" si="35">C65*MAX(IF(ISBLANK(C26),C12,C26),0)</f>
        <v>0</v>
      </c>
      <c r="D89" s="6">
        <f t="shared" si="35"/>
        <v>20.726505230297622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146</v>
      </c>
      <c r="C90" s="6">
        <f t="shared" ref="C90:J90" si="36">C66*MAX(IF(ISBLANK(C26),C12,C26),0)</f>
        <v>0</v>
      </c>
      <c r="D90" s="6">
        <f t="shared" si="36"/>
        <v>21.468735384712215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147</v>
      </c>
      <c r="C91" s="6">
        <f t="shared" ref="C91:J91" si="37">C67*MAX(IF(ISBLANK(C26),C12,C26),0)</f>
        <v>0</v>
      </c>
      <c r="D91" s="6">
        <f t="shared" si="37"/>
        <v>22.107716751028367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148</v>
      </c>
      <c r="C93" s="6">
        <f t="shared" ref="C93:J97" si="38">C81-C87</f>
        <v>0</v>
      </c>
      <c r="D93" s="6">
        <f t="shared" si="38"/>
        <v>69.862369731516765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149</v>
      </c>
      <c r="C94" s="6">
        <f t="shared" si="38"/>
        <v>0</v>
      </c>
      <c r="D94" s="6">
        <f t="shared" si="38"/>
        <v>73.209150151818179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150</v>
      </c>
      <c r="C95" s="6">
        <f t="shared" si="38"/>
        <v>0</v>
      </c>
      <c r="D95" s="6">
        <f t="shared" si="38"/>
        <v>76.27353924749525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151</v>
      </c>
      <c r="C96" s="6">
        <f t="shared" si="38"/>
        <v>0</v>
      </c>
      <c r="D96" s="6">
        <f t="shared" si="38"/>
        <v>79.004946215740929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152</v>
      </c>
      <c r="C97" s="6">
        <f t="shared" si="38"/>
        <v>0</v>
      </c>
      <c r="D97" s="6">
        <f t="shared" si="38"/>
        <v>81.356397643784391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153</v>
      </c>
      <c r="C99" s="6">
        <f t="shared" ref="C99:J99" si="39">C93/(((1+C16)*(1+C16+(C104-C16)*1/5)*(1+C16+(C104-C16)*2/5)*(1+C16+(C104-C16)*3/5)*(1+C16+(C104-C16)*4/5))*(1+C104)^1)</f>
        <v>0</v>
      </c>
      <c r="D99" s="6">
        <f t="shared" si="39"/>
        <v>44.970497724383506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154</v>
      </c>
      <c r="C100" s="6">
        <f t="shared" ref="C100:J100" si="40">C94/(((1+C16)*(1+C16+(C104-C16)*1/5)*(1+C16+(C104-C16)*2/5)*(1+C16+(C104-C16)*3/5)*(1+C16+(C104-C16)*4/5))*(1+C104)^2)</f>
        <v>0</v>
      </c>
      <c r="D100" s="6">
        <f t="shared" si="40"/>
        <v>43.772782196104799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155</v>
      </c>
      <c r="C101" s="6">
        <f t="shared" ref="C101:J101" si="41">C95/(((1+C16)*(1+C16+(C104-C16)*1/5)*(1+C16+(C104-C16)*2/5)*(1+C16+(C104-C16)*3/5)*(1+C16+(C104-C16)*4/5))*(1+C104)^3)</f>
        <v>0</v>
      </c>
      <c r="D101" s="6">
        <f t="shared" si="41"/>
        <v>42.361086368559619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156</v>
      </c>
      <c r="C102" s="6">
        <f t="shared" ref="C102:J102" si="42">C96/(((1+C16)*(1+C16+(C104-C16)*1/5)*(1+C16+(C104-C16)*2/5)*(1+C16+(C104-C16)*3/5)*(1+C16+(C104-C16)*4/5))*(1+C104)^4)</f>
        <v>0</v>
      </c>
      <c r="D102" s="6">
        <f t="shared" si="42"/>
        <v>40.756968748697197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157</v>
      </c>
      <c r="C103" s="6">
        <f t="shared" ref="C103:J103" si="43">C97/(((1+C16)*(1+C16+(C104-C16)*1/5)*(1+C16+(C104-C16)*2/5)*(1+C16+(C104-C16)*3/5)*(1+C16+(C104-C16)*4/5))*(1+C104)^5)</f>
        <v>0</v>
      </c>
      <c r="D103" s="6">
        <f t="shared" si="43"/>
        <v>38.984656270078808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158</v>
      </c>
      <c r="C104" s="11">
        <f>MAX((Inputs!B18+((1+(1-Inputs!B22)*(Inputs!B36/(1-Inputs!B36)))/(1+(1-Inputs!B22)*0.25))*Inputs!B19+IF(ISBLANK(C17),Inputs!B24,C17)+Inputs!B25+Inputs!B39)*(1-Inputs!B36)+Inputs!B38*Inputs!B36,C15)</f>
        <v>7.6578235237883749E-2</v>
      </c>
      <c r="D104" s="11">
        <f>MAX((Inputs!B18+((1+(1-Inputs!B22)*(Inputs!B36/(1-Inputs!B36)))/(1+(1-Inputs!B22)*0.25))*Inputs!B19+IF(ISBLANK(D17),Inputs!B24,D17)+Inputs!B25+Inputs!B39)*(1-Inputs!B36)+Inputs!B38*Inputs!B36,D15)</f>
        <v>7.6578235237883749E-2</v>
      </c>
      <c r="E104" s="11">
        <f>MAX((Inputs!B18+((1+(1-Inputs!B22)*(Inputs!B36/(1-Inputs!B36)))/(1+(1-Inputs!B22)*0.25))*Inputs!B19+IF(ISBLANK(E17),Inputs!B24,E17)+Inputs!B25+Inputs!B39)*(1-Inputs!B36)+Inputs!B38*Inputs!B36,E15)</f>
        <v>7.6578235237883749E-2</v>
      </c>
      <c r="F104" s="11">
        <f>MAX((Inputs!B18+((1+(1-Inputs!B22)*(Inputs!B36/(1-Inputs!B36)))/(1+(1-Inputs!B22)*0.25))*Inputs!B19+IF(ISBLANK(F17),Inputs!B24,F17)+Inputs!B25+Inputs!B39)*(1-Inputs!B36)+Inputs!B38*Inputs!B36,F15)</f>
        <v>7.6578235237883749E-2</v>
      </c>
      <c r="G104" s="11">
        <f>MAX((Inputs!B18+((1+(1-Inputs!B22)*(Inputs!B36/(1-Inputs!B36)))/(1+(1-Inputs!B22)*0.25))*Inputs!B19+IF(ISBLANK(G17),Inputs!B24,G17)+Inputs!B25+Inputs!B39)*(1-Inputs!B36)+Inputs!B38*Inputs!B36,G15)</f>
        <v>7.6578235237883749E-2</v>
      </c>
      <c r="H104" s="11">
        <f>MAX((Inputs!B18+((1+(1-Inputs!B22)*(Inputs!B36/(1-Inputs!B36)))/(1+(1-Inputs!B22)*0.25))*Inputs!B19+IF(ISBLANK(H17),Inputs!B24,H17)+Inputs!B25+Inputs!B39)*(1-Inputs!B36)+Inputs!B38*Inputs!B36,H15)</f>
        <v>7.6578235237883749E-2</v>
      </c>
      <c r="I104" s="11">
        <f>MAX((Inputs!B18+((1+(1-Inputs!B22)*(Inputs!B36/(1-Inputs!B36)))/(1+(1-Inputs!B22)*0.25))*Inputs!B19+IF(ISBLANK(I17),Inputs!B24,I17)+Inputs!B25+Inputs!B39)*(1-Inputs!B36)+Inputs!B38*Inputs!B36,I15)</f>
        <v>7.6578235237883749E-2</v>
      </c>
      <c r="J104" s="11">
        <f>MAX((Inputs!B18+((1+(1-Inputs!B22)*(Inputs!B36/(1-Inputs!B36)))/(1+(1-Inputs!B22)*0.25))*Inputs!B19+IF(ISBLANK(J17),Inputs!B24,J17)+Inputs!B25+Inputs!B39)*(1-Inputs!B36)+Inputs!B38*Inputs!B36,J15)</f>
        <v>7.6578235237883749E-2</v>
      </c>
    </row>
    <row r="105" spans="1:11" x14ac:dyDescent="0.25">
      <c r="A105" s="4" t="s">
        <v>159</v>
      </c>
      <c r="C105" s="6">
        <f t="shared" ref="C105:J105" si="44">SUM(C57:C61,C99:C103)</f>
        <v>0</v>
      </c>
      <c r="D105" s="6">
        <f t="shared" si="44"/>
        <v>386.10152884436991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160</v>
      </c>
      <c r="C106" s="6">
        <f t="shared" ref="C106:J106" si="45">IF(C5=0,0,C97*(1+C13)/(C104-C13))</f>
        <v>0</v>
      </c>
      <c r="D106" s="6">
        <f t="shared" si="45"/>
        <v>1789.5553045968638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161</v>
      </c>
      <c r="C107" s="6">
        <f t="shared" ref="C107:J107" si="46">C106/(((1+C16)*(1+C16+(C104-C16)*1/5)*(1+C16+(C104-C16)*2/5)*(1+C16+(C104-C16)*3/5)*(1+C16+(C104-C16)*4/5))*(1+C104)^5)</f>
        <v>0</v>
      </c>
      <c r="D107" s="6">
        <f t="shared" si="46"/>
        <v>857.52565804927769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162</v>
      </c>
      <c r="C109" s="20">
        <f t="shared" ref="C109:J109" si="47">C105+C107</f>
        <v>0</v>
      </c>
      <c r="D109" s="20">
        <f t="shared" si="47"/>
        <v>1243.6271868936476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1243.6271868936476</v>
      </c>
    </row>
    <row r="110" spans="1:11" x14ac:dyDescent="0.25">
      <c r="A110" s="4" t="s">
        <v>163</v>
      </c>
      <c r="K110" s="11">
        <f>IFERROR(SUMPRODUCT(C109:J109,C16:J16)/SUM(C109:J109),0)</f>
        <v>7.5786886163442285E-2</v>
      </c>
    </row>
    <row r="111" spans="1:11" x14ac:dyDescent="0.25">
      <c r="A111" s="4" t="s">
        <v>164</v>
      </c>
      <c r="K111" s="5">
        <f>3533.9-SUM(B135:J135)</f>
        <v>1535.4</v>
      </c>
    </row>
    <row r="112" spans="1:11" x14ac:dyDescent="0.25">
      <c r="A112" s="4" t="s">
        <v>165</v>
      </c>
      <c r="K112" s="5">
        <v>0</v>
      </c>
    </row>
    <row r="113" spans="1:11" x14ac:dyDescent="0.25">
      <c r="A113" s="4" t="s">
        <v>166</v>
      </c>
      <c r="K113" s="5">
        <v>0</v>
      </c>
    </row>
    <row r="114" spans="1:11" x14ac:dyDescent="0.25">
      <c r="A114" s="4" t="s">
        <v>167</v>
      </c>
      <c r="K114" s="5">
        <f>0+SUM(B134:J134)</f>
        <v>10249.2297</v>
      </c>
    </row>
    <row r="115" spans="1:11" x14ac:dyDescent="0.25">
      <c r="A115" s="4" t="s">
        <v>168</v>
      </c>
      <c r="K115" s="5">
        <v>0</v>
      </c>
    </row>
    <row r="116" spans="1:11" x14ac:dyDescent="0.25">
      <c r="A116" s="4" t="s">
        <v>169</v>
      </c>
      <c r="K116" s="5">
        <v>0</v>
      </c>
    </row>
    <row r="117" spans="1:11" x14ac:dyDescent="0.25">
      <c r="A117" s="4" t="s">
        <v>170</v>
      </c>
      <c r="K117" s="5">
        <v>0</v>
      </c>
    </row>
    <row r="118" spans="1:11" x14ac:dyDescent="0.25">
      <c r="A118" s="4" t="s">
        <v>171</v>
      </c>
      <c r="K118" s="5">
        <v>0</v>
      </c>
    </row>
    <row r="119" spans="1:11" x14ac:dyDescent="0.25">
      <c r="A119" s="4" t="s">
        <v>172</v>
      </c>
      <c r="K119" s="20">
        <f>K109+K113+K114+K115+K116+K117+K118+K121-K111-K112</f>
        <v>9900.4568868936476</v>
      </c>
    </row>
    <row r="120" spans="1:11" x14ac:dyDescent="0.25">
      <c r="A120" s="4" t="s">
        <v>173</v>
      </c>
      <c r="K120" s="6">
        <f>Inputs!B11</f>
        <v>69</v>
      </c>
    </row>
    <row r="121" spans="1:11" x14ac:dyDescent="0.25">
      <c r="A121" s="4" t="s">
        <v>174</v>
      </c>
      <c r="K121" s="21">
        <f>-(Inputs!B41+Inputs!B42)</f>
        <v>-57</v>
      </c>
    </row>
    <row r="122" spans="1:11" ht="15.75" customHeight="1" x14ac:dyDescent="0.25">
      <c r="A122" s="4" t="s">
        <v>175</v>
      </c>
      <c r="K122" s="22">
        <f>K119/K120</f>
        <v>143.48488241874853</v>
      </c>
    </row>
    <row r="124" spans="1:11" x14ac:dyDescent="0.25">
      <c r="A124" t="s">
        <v>176</v>
      </c>
    </row>
    <row r="125" spans="1:11" x14ac:dyDescent="0.25">
      <c r="A125" t="s">
        <v>177</v>
      </c>
      <c r="B125" t="s">
        <v>178</v>
      </c>
    </row>
    <row r="126" spans="1:11" x14ac:dyDescent="0.25">
      <c r="A126" t="s">
        <v>179</v>
      </c>
      <c r="B126" t="s">
        <v>180</v>
      </c>
    </row>
    <row r="127" spans="1:11" x14ac:dyDescent="0.25">
      <c r="A127" t="s">
        <v>181</v>
      </c>
      <c r="B127" t="s">
        <v>8</v>
      </c>
    </row>
    <row r="128" spans="1:11" x14ac:dyDescent="0.25">
      <c r="A128" t="s">
        <v>182</v>
      </c>
      <c r="B128">
        <v>1</v>
      </c>
    </row>
    <row r="129" spans="1:2" x14ac:dyDescent="0.25">
      <c r="A129" t="s">
        <v>207</v>
      </c>
      <c r="B129">
        <v>16057.8</v>
      </c>
    </row>
    <row r="130" spans="1:2" x14ac:dyDescent="0.25">
      <c r="A130" t="s">
        <v>184</v>
      </c>
      <c r="B130">
        <v>1998.5</v>
      </c>
    </row>
    <row r="131" spans="1:2" x14ac:dyDescent="0.25">
      <c r="A131" t="s">
        <v>185</v>
      </c>
      <c r="B131">
        <f>B129-B130</f>
        <v>14059.3</v>
      </c>
    </row>
    <row r="132" spans="1:2" x14ac:dyDescent="0.25">
      <c r="A132" t="s">
        <v>186</v>
      </c>
      <c r="B132">
        <v>0.72899999999999998</v>
      </c>
    </row>
    <row r="133" spans="1:2" x14ac:dyDescent="0.25">
      <c r="A133" t="s">
        <v>187</v>
      </c>
      <c r="B133">
        <f>B131*B132</f>
        <v>10249.2297</v>
      </c>
    </row>
    <row r="134" spans="1:2" x14ac:dyDescent="0.25">
      <c r="A134" t="s">
        <v>188</v>
      </c>
      <c r="B134">
        <f>B133*B128*(1+B143)</f>
        <v>10249.2297</v>
      </c>
    </row>
    <row r="135" spans="1:2" x14ac:dyDescent="0.25">
      <c r="A135" t="s">
        <v>189</v>
      </c>
      <c r="B135">
        <f>B130*B128</f>
        <v>1998.5</v>
      </c>
    </row>
    <row r="136" spans="1:2" x14ac:dyDescent="0.25">
      <c r="A136" t="s">
        <v>190</v>
      </c>
    </row>
    <row r="137" spans="1:2" x14ac:dyDescent="0.25">
      <c r="A137" t="s">
        <v>191</v>
      </c>
      <c r="B137" t="s">
        <v>192</v>
      </c>
    </row>
    <row r="138" spans="1:2" x14ac:dyDescent="0.25">
      <c r="A138" t="s">
        <v>193</v>
      </c>
      <c r="B138" t="s">
        <v>194</v>
      </c>
    </row>
    <row r="139" spans="1:2" x14ac:dyDescent="0.25">
      <c r="A139" t="s">
        <v>195</v>
      </c>
      <c r="B139" t="s">
        <v>196</v>
      </c>
    </row>
    <row r="140" spans="1:2" x14ac:dyDescent="0.25">
      <c r="A140" t="s">
        <v>197</v>
      </c>
      <c r="B140" t="s">
        <v>198</v>
      </c>
    </row>
    <row r="141" spans="1:2" x14ac:dyDescent="0.25">
      <c r="A141" t="s">
        <v>208</v>
      </c>
      <c r="B141" t="s">
        <v>209</v>
      </c>
    </row>
    <row r="142" spans="1:2" x14ac:dyDescent="0.25">
      <c r="A142" t="s">
        <v>201</v>
      </c>
      <c r="B142" t="s">
        <v>202</v>
      </c>
    </row>
    <row r="143" spans="1:2" x14ac:dyDescent="0.25">
      <c r="A143" t="s">
        <v>210</v>
      </c>
      <c r="B14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3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211</v>
      </c>
    </row>
    <row r="2" spans="1:11" x14ac:dyDescent="0.25">
      <c r="A2" s="2" t="s">
        <v>56</v>
      </c>
    </row>
    <row r="3" spans="1:11" x14ac:dyDescent="0.25">
      <c r="C3" s="13" t="s">
        <v>57</v>
      </c>
      <c r="D3" s="13" t="s">
        <v>58</v>
      </c>
      <c r="E3" s="13" t="s">
        <v>59</v>
      </c>
      <c r="F3" s="13" t="s">
        <v>60</v>
      </c>
      <c r="G3" s="13" t="s">
        <v>61</v>
      </c>
      <c r="H3" s="13" t="s">
        <v>62</v>
      </c>
      <c r="I3" s="13" t="s">
        <v>63</v>
      </c>
      <c r="J3" s="13" t="s">
        <v>64</v>
      </c>
      <c r="K3" s="13" t="s">
        <v>65</v>
      </c>
    </row>
    <row r="4" spans="1:11" x14ac:dyDescent="0.25">
      <c r="A4" s="4" t="s">
        <v>66</v>
      </c>
      <c r="C4" s="14" t="s">
        <v>67</v>
      </c>
      <c r="D4" s="14" t="s">
        <v>58</v>
      </c>
      <c r="E4" s="14"/>
      <c r="F4" s="14"/>
      <c r="G4" s="14"/>
      <c r="H4" s="14"/>
      <c r="I4" s="14"/>
      <c r="J4" s="14"/>
    </row>
    <row r="5" spans="1:11" x14ac:dyDescent="0.25">
      <c r="A5" s="4" t="s">
        <v>68</v>
      </c>
      <c r="C5" s="5"/>
      <c r="D5" s="5">
        <v>673</v>
      </c>
      <c r="E5" s="5"/>
      <c r="F5" s="5"/>
      <c r="G5" s="5"/>
      <c r="H5" s="5"/>
      <c r="I5" s="5"/>
      <c r="J5" s="5"/>
    </row>
    <row r="6" spans="1:11" x14ac:dyDescent="0.25">
      <c r="A6" s="4" t="s">
        <v>69</v>
      </c>
      <c r="C6" s="7"/>
      <c r="D6" s="7">
        <v>0.02</v>
      </c>
      <c r="E6" s="7"/>
      <c r="F6" s="7"/>
      <c r="G6" s="7"/>
      <c r="H6" s="7"/>
      <c r="I6" s="7"/>
      <c r="J6" s="7"/>
    </row>
    <row r="7" spans="1:11" x14ac:dyDescent="0.25">
      <c r="A7" s="4" t="s">
        <v>70</v>
      </c>
      <c r="C7" s="7"/>
      <c r="D7" s="7">
        <v>2.2656588799442389E-2</v>
      </c>
      <c r="E7" s="7"/>
      <c r="F7" s="7"/>
      <c r="G7" s="7"/>
      <c r="H7" s="7"/>
      <c r="I7" s="7"/>
      <c r="J7" s="7"/>
    </row>
    <row r="8" spans="1:11" x14ac:dyDescent="0.25">
      <c r="A8" s="4" t="s">
        <v>71</v>
      </c>
      <c r="C8" s="15"/>
      <c r="D8" s="15">
        <v>5.6000000000000001E-2</v>
      </c>
      <c r="E8" s="15"/>
      <c r="F8" s="15"/>
      <c r="G8" s="15"/>
      <c r="H8" s="15"/>
      <c r="I8" s="15"/>
      <c r="J8" s="15"/>
    </row>
    <row r="9" spans="1:11" x14ac:dyDescent="0.25">
      <c r="A9" s="4" t="s">
        <v>72</v>
      </c>
      <c r="C9" s="7"/>
      <c r="D9" s="7">
        <v>0.08</v>
      </c>
      <c r="E9" s="7"/>
      <c r="F9" s="7"/>
      <c r="G9" s="7"/>
      <c r="H9" s="7"/>
      <c r="I9" s="7"/>
      <c r="J9" s="7"/>
    </row>
    <row r="10" spans="1:11" x14ac:dyDescent="0.25">
      <c r="A10" s="4" t="s">
        <v>73</v>
      </c>
      <c r="C10" s="7"/>
      <c r="D10" s="7">
        <v>0.16</v>
      </c>
      <c r="E10" s="7"/>
      <c r="F10" s="7"/>
      <c r="G10" s="7"/>
      <c r="H10" s="7"/>
      <c r="I10" s="7"/>
      <c r="J10" s="7"/>
    </row>
    <row r="11" spans="1:11" x14ac:dyDescent="0.25">
      <c r="A11" s="4" t="s">
        <v>74</v>
      </c>
      <c r="C11" s="7"/>
      <c r="D11" s="7">
        <v>0.13400000000000001</v>
      </c>
      <c r="E11" s="7"/>
      <c r="F11" s="7"/>
      <c r="G11" s="7"/>
      <c r="H11" s="7"/>
      <c r="I11" s="7"/>
      <c r="J11" s="7"/>
    </row>
    <row r="12" spans="1:11" x14ac:dyDescent="0.25">
      <c r="A12" s="4" t="s">
        <v>75</v>
      </c>
      <c r="C12" s="7"/>
      <c r="D12" s="7">
        <v>2.5000000000000001E-2</v>
      </c>
      <c r="E12" s="7"/>
      <c r="F12" s="7"/>
      <c r="G12" s="7"/>
      <c r="H12" s="7"/>
      <c r="I12" s="7"/>
      <c r="J12" s="7"/>
    </row>
    <row r="13" spans="1:11" x14ac:dyDescent="0.25">
      <c r="A13" s="4" t="s">
        <v>76</v>
      </c>
      <c r="C13" s="7"/>
      <c r="D13" s="7">
        <v>1.7854983314166229E-2</v>
      </c>
      <c r="E13" s="7"/>
      <c r="F13" s="7"/>
      <c r="G13" s="7"/>
      <c r="H13" s="7"/>
      <c r="I13" s="7"/>
      <c r="J13" s="7"/>
    </row>
    <row r="14" spans="1:11" x14ac:dyDescent="0.25">
      <c r="A14" s="4" t="s">
        <v>77</v>
      </c>
      <c r="C14" s="9"/>
      <c r="D14" s="9">
        <v>0.84099999999999997</v>
      </c>
      <c r="E14" s="9"/>
      <c r="F14" s="9"/>
      <c r="G14" s="9"/>
      <c r="H14" s="9"/>
      <c r="I14" s="9"/>
      <c r="J14" s="9"/>
    </row>
    <row r="15" spans="1:11" x14ac:dyDescent="0.25">
      <c r="A15" s="4" t="s">
        <v>78</v>
      </c>
      <c r="C15" s="7"/>
      <c r="D15" s="7">
        <v>0</v>
      </c>
      <c r="E15" s="7"/>
      <c r="F15" s="7"/>
      <c r="G15" s="7"/>
      <c r="H15" s="7"/>
      <c r="I15" s="7"/>
      <c r="J15" s="7"/>
    </row>
    <row r="16" spans="1:11" x14ac:dyDescent="0.25">
      <c r="A16" s="4" t="s">
        <v>79</v>
      </c>
      <c r="C16" s="11">
        <f>MAX((MAX(Inputs!B18+((1-0.33)*C14*(1+(1-Inputs!B22)*Inputs!B21)+0.33)*Inputs!B19+IF(ISBLANK(C17),Inputs!B24,C17)+Inputs!B25+Inputs!B39,MIN(Inputs!B27,0.08)+0.025))*Inputs!B29+Inputs!B28*Inputs!B30,C15)</f>
        <v>6.2288712241653423E-2</v>
      </c>
      <c r="D16" s="11">
        <f>MAX((MAX(Inputs!B18+((1-0.33)*D14*(1+(1-Inputs!B22)*Inputs!B21)+0.33)*Inputs!B19+IF(ISBLANK(D17),Inputs!B24,D17)+Inputs!B25+Inputs!B39,MIN(Inputs!B27,0.08)+0.025))*Inputs!B29+Inputs!B28*Inputs!B30,D15)</f>
        <v>7.5786886163442285E-2</v>
      </c>
      <c r="E16" s="11">
        <f>MAX((MAX(Inputs!B18+((1-0.33)*E14*(1+(1-Inputs!B22)*Inputs!B21)+0.33)*Inputs!B19+IF(ISBLANK(E17),Inputs!B24,E17)+Inputs!B25+Inputs!B39,MIN(Inputs!B27,0.08)+0.025))*Inputs!B29+Inputs!B28*Inputs!B30,E15)</f>
        <v>6.2288712241653423E-2</v>
      </c>
      <c r="F16" s="11">
        <f>MAX((MAX(Inputs!B18+((1-0.33)*F14*(1+(1-Inputs!B22)*Inputs!B21)+0.33)*Inputs!B19+IF(ISBLANK(F17),Inputs!B24,F17)+Inputs!B25+Inputs!B39,MIN(Inputs!B27,0.08)+0.025))*Inputs!B29+Inputs!B28*Inputs!B30,F15)</f>
        <v>6.2288712241653423E-2</v>
      </c>
      <c r="G16" s="11">
        <f>MAX((MAX(Inputs!B18+((1-0.33)*G14*(1+(1-Inputs!B22)*Inputs!B21)+0.33)*Inputs!B19+IF(ISBLANK(G17),Inputs!B24,G17)+Inputs!B25+Inputs!B39,MIN(Inputs!B27,0.08)+0.025))*Inputs!B29+Inputs!B28*Inputs!B30,G15)</f>
        <v>6.2288712241653423E-2</v>
      </c>
      <c r="H16" s="11">
        <f>MAX((MAX(Inputs!B18+((1-0.33)*H14*(1+(1-Inputs!B22)*Inputs!B21)+0.33)*Inputs!B19+IF(ISBLANK(H17),Inputs!B24,H17)+Inputs!B25+Inputs!B39,MIN(Inputs!B27,0.08)+0.025))*Inputs!B29+Inputs!B28*Inputs!B30,H15)</f>
        <v>6.2288712241653423E-2</v>
      </c>
      <c r="I16" s="11">
        <f>MAX((MAX(Inputs!B18+((1-0.33)*I14*(1+(1-Inputs!B22)*Inputs!B21)+0.33)*Inputs!B19+IF(ISBLANK(I17),Inputs!B24,I17)+Inputs!B25+Inputs!B39,MIN(Inputs!B27,0.08)+0.025))*Inputs!B29+Inputs!B28*Inputs!B30,I15)</f>
        <v>6.2288712241653423E-2</v>
      </c>
      <c r="J16" s="11">
        <f>MAX((MAX(Inputs!B18+((1-0.33)*J14*(1+(1-Inputs!B22)*Inputs!B21)+0.33)*Inputs!B19+IF(ISBLANK(J17),Inputs!B24,J17)+Inputs!B25+Inputs!B39,MIN(Inputs!B27,0.08)+0.025))*Inputs!B29+Inputs!B28*Inputs!B30,J15)</f>
        <v>6.2288712241653423E-2</v>
      </c>
    </row>
    <row r="17" spans="1:10" x14ac:dyDescent="0.25">
      <c r="A17" s="16" t="s">
        <v>80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81</v>
      </c>
      <c r="C18" s="36" t="s">
        <v>82</v>
      </c>
      <c r="D18" s="18" t="s">
        <v>212</v>
      </c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84</v>
      </c>
      <c r="C19" s="18"/>
      <c r="D19" s="18" t="s">
        <v>213</v>
      </c>
      <c r="E19" s="18"/>
      <c r="F19" s="18"/>
      <c r="G19" s="18"/>
      <c r="H19" s="18"/>
      <c r="I19" s="18"/>
      <c r="J19" s="18"/>
    </row>
    <row r="21" spans="1:10" x14ac:dyDescent="0.25">
      <c r="A21" s="4" t="s">
        <v>86</v>
      </c>
      <c r="C21" s="6">
        <f t="shared" ref="C21:J21" si="0">C5*(1+C6)^1</f>
        <v>0</v>
      </c>
      <c r="D21" s="6">
        <f t="shared" si="0"/>
        <v>686.46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87</v>
      </c>
      <c r="C22" s="6">
        <f t="shared" ref="C22:J22" si="1">C5*(1+C6)^2</f>
        <v>0</v>
      </c>
      <c r="D22" s="6">
        <f t="shared" si="1"/>
        <v>700.18920000000003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88</v>
      </c>
      <c r="C23" s="6">
        <f t="shared" ref="C23:J23" si="2">C5*(1+C6)^3</f>
        <v>0</v>
      </c>
      <c r="D23" s="6">
        <f t="shared" si="2"/>
        <v>714.19298399999991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89</v>
      </c>
      <c r="C24" s="6">
        <f t="shared" ref="C24:J24" si="3">C5*(1+C6)^4</f>
        <v>0</v>
      </c>
      <c r="D24" s="6">
        <f t="shared" si="3"/>
        <v>728.47684368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90</v>
      </c>
      <c r="C25" s="6">
        <f t="shared" ref="C25:J25" si="4">C5*(1+C6)^5</f>
        <v>0</v>
      </c>
      <c r="D25" s="6">
        <f t="shared" si="4"/>
        <v>743.04638055359999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91</v>
      </c>
      <c r="C26" s="7"/>
      <c r="D26" s="7">
        <v>0.02</v>
      </c>
      <c r="E26" s="7"/>
      <c r="F26" s="7"/>
      <c r="G26" s="7"/>
      <c r="H26" s="7"/>
      <c r="I26" s="7"/>
      <c r="J26" s="7"/>
    </row>
    <row r="27" spans="1:10" x14ac:dyDescent="0.25">
      <c r="A27" s="4" t="s">
        <v>92</v>
      </c>
      <c r="C27" s="11">
        <f t="shared" ref="C27:J27" si="5">IF(ISBLANK(C9),C7,C7+(C9-C7)*(0)/4)</f>
        <v>0</v>
      </c>
      <c r="D27" s="11">
        <f t="shared" si="5"/>
        <v>2.2656588799442389E-2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93</v>
      </c>
      <c r="C28" s="11">
        <f t="shared" ref="C28:J28" si="6">IF(ISBLANK(C9),C7,C7+(C9-C7)*(1)/4)</f>
        <v>0</v>
      </c>
      <c r="D28" s="11">
        <f t="shared" si="6"/>
        <v>3.6992441599581788E-2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94</v>
      </c>
      <c r="C29" s="11">
        <f t="shared" ref="C29:J29" si="7">IF(ISBLANK(C9),C7,C7+(C9-C7)*(2)/4)</f>
        <v>0</v>
      </c>
      <c r="D29" s="11">
        <f t="shared" si="7"/>
        <v>5.1328294399721197E-2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95</v>
      </c>
      <c r="C30" s="11">
        <f t="shared" ref="C30:J30" si="8">IF(ISBLANK(C9),C7,C7+(C9-C7)*(3)/4)</f>
        <v>0</v>
      </c>
      <c r="D30" s="11">
        <f t="shared" si="8"/>
        <v>6.5664147199860592E-2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96</v>
      </c>
      <c r="C31" s="11">
        <f t="shared" ref="C31:J31" si="9">IF(ISBLANK(C9),C7,C7+(C9-C7)*(4)/4)</f>
        <v>0</v>
      </c>
      <c r="D31" s="11">
        <f t="shared" si="9"/>
        <v>0.08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97</v>
      </c>
      <c r="C33" s="6">
        <f t="shared" ref="C33:J37" si="10">C21*C27</f>
        <v>0</v>
      </c>
      <c r="D33" s="6">
        <f t="shared" si="10"/>
        <v>15.552841947265224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98</v>
      </c>
      <c r="C34" s="6">
        <f t="shared" si="10"/>
        <v>0</v>
      </c>
      <c r="D34" s="6">
        <f t="shared" si="10"/>
        <v>25.901708089657895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99</v>
      </c>
      <c r="C35" s="6">
        <f t="shared" si="10"/>
        <v>0</v>
      </c>
      <c r="D35" s="6">
        <f t="shared" si="10"/>
        <v>36.658307740967366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100</v>
      </c>
      <c r="C36" s="6">
        <f t="shared" si="10"/>
        <v>0</v>
      </c>
      <c r="D36" s="6">
        <f t="shared" si="10"/>
        <v>47.834810695093353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101</v>
      </c>
      <c r="C37" s="6">
        <f t="shared" si="10"/>
        <v>0</v>
      </c>
      <c r="D37" s="6">
        <f t="shared" si="10"/>
        <v>59.443710444288001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102</v>
      </c>
      <c r="C39" s="6">
        <f>C33*(1-Inputs!B22)</f>
        <v>0</v>
      </c>
      <c r="D39" s="6">
        <f>D33*(1-Inputs!B22)</f>
        <v>11.198046202030961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103</v>
      </c>
      <c r="C40" s="6">
        <f>C34*(1-Inputs!B22)</f>
        <v>0</v>
      </c>
      <c r="D40" s="6">
        <f>D34*(1-Inputs!B22)</f>
        <v>18.649229824553682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104</v>
      </c>
      <c r="C41" s="6">
        <f>C35*(1-Inputs!B22)</f>
        <v>0</v>
      </c>
      <c r="D41" s="6">
        <f>D35*(1-Inputs!B22)</f>
        <v>26.393981573496504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105</v>
      </c>
      <c r="C42" s="6">
        <f>C36*(1-Inputs!B22)</f>
        <v>0</v>
      </c>
      <c r="D42" s="6">
        <f>D36*(1-Inputs!B22)</f>
        <v>34.441063700467211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106</v>
      </c>
      <c r="C43" s="6">
        <f>C37*(1-Inputs!B22)</f>
        <v>0</v>
      </c>
      <c r="D43" s="6">
        <f>D37*(1-Inputs!B22)</f>
        <v>42.799471519887362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107</v>
      </c>
      <c r="C45" s="6">
        <f t="shared" ref="C45:J45" si="11">C21*IF(ISBLANK(C26),C12,C12+(C26-C12)*(0)/4)</f>
        <v>0</v>
      </c>
      <c r="D45" s="6">
        <f t="shared" si="11"/>
        <v>17.1615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108</v>
      </c>
      <c r="C46" s="6">
        <f t="shared" ref="C46:J46" si="12">C22*IF(ISBLANK(C26),C12,C12+(C26-C12)*(1)/4)</f>
        <v>0</v>
      </c>
      <c r="D46" s="6">
        <f t="shared" si="12"/>
        <v>16.629493500000002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109</v>
      </c>
      <c r="C47" s="6">
        <f t="shared" ref="C47:J47" si="13">C23*IF(ISBLANK(C26),C12,C12+(C26-C12)*(2)/4)</f>
        <v>0</v>
      </c>
      <c r="D47" s="6">
        <f t="shared" si="13"/>
        <v>16.069342139999996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110</v>
      </c>
      <c r="C48" s="6">
        <f t="shared" ref="C48:J48" si="14">C24*IF(ISBLANK(C26),C12,C12+(C26-C12)*(3)/4)</f>
        <v>0</v>
      </c>
      <c r="D48" s="6">
        <f t="shared" si="14"/>
        <v>15.480132928200002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111</v>
      </c>
      <c r="C49" s="6">
        <f t="shared" ref="C49:J49" si="15">C25*IF(ISBLANK(C26),C12,C12+(C26-C12)*(4)/4)</f>
        <v>0</v>
      </c>
      <c r="D49" s="6">
        <f t="shared" si="15"/>
        <v>14.860927611072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112</v>
      </c>
      <c r="C51" s="6">
        <f t="shared" ref="C51:J55" si="16">C39-C45</f>
        <v>0</v>
      </c>
      <c r="D51" s="6">
        <f t="shared" si="16"/>
        <v>-5.9634537979690396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113</v>
      </c>
      <c r="C52" s="6">
        <f t="shared" si="16"/>
        <v>0</v>
      </c>
      <c r="D52" s="6">
        <f t="shared" si="16"/>
        <v>2.0197363245536799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114</v>
      </c>
      <c r="C53" s="6">
        <f t="shared" si="16"/>
        <v>0</v>
      </c>
      <c r="D53" s="6">
        <f t="shared" si="16"/>
        <v>10.324639433496507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115</v>
      </c>
      <c r="C54" s="6">
        <f t="shared" si="16"/>
        <v>0</v>
      </c>
      <c r="D54" s="6">
        <f t="shared" si="16"/>
        <v>18.960930772267211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116</v>
      </c>
      <c r="C55" s="6">
        <f t="shared" si="16"/>
        <v>0</v>
      </c>
      <c r="D55" s="6">
        <f t="shared" si="16"/>
        <v>27.938543908815362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117</v>
      </c>
      <c r="C57" s="6">
        <f t="shared" ref="C57:J57" si="17">C51/((1+C16))</f>
        <v>0</v>
      </c>
      <c r="D57" s="6">
        <f t="shared" si="17"/>
        <v>-5.5433412274027507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118</v>
      </c>
      <c r="C58" s="6">
        <f t="shared" ref="C58:J58" si="18">C52/((1+C16)*(1+C16+(C104-C16)*1/5))</f>
        <v>0</v>
      </c>
      <c r="D58" s="6">
        <f t="shared" si="18"/>
        <v>1.7449311501894096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119</v>
      </c>
      <c r="C59" s="6">
        <f t="shared" ref="C59:J59" si="19">C53/((1+C16)*(1+C16+(C104-C16)*1/5)*(1+C16+(C104-C16)*2/5))</f>
        <v>0</v>
      </c>
      <c r="D59" s="6">
        <f t="shared" si="19"/>
        <v>8.289045035005449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120</v>
      </c>
      <c r="C60" s="6">
        <f t="shared" ref="C60:J60" si="20">C54/((1+C16)*(1+C16+(C104-C16)*1/5)*(1+C16+(C104-C16)*2/5)*(1+C16+(C104-C16)*3/5))</f>
        <v>0</v>
      </c>
      <c r="D60" s="6">
        <f t="shared" si="20"/>
        <v>14.143971550053292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121</v>
      </c>
      <c r="C61" s="6">
        <f t="shared" ref="C61:J61" si="21">C55/((1+C16)*(1+C16+(C104-C16)*1/5)*(1+C16+(C104-C16)*2/5)*(1+C16+(C104-C16)*3/5)*(1+C16+(C104-C16)*4/5))</f>
        <v>0</v>
      </c>
      <c r="D61" s="6">
        <f t="shared" si="21"/>
        <v>19.361265703675063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122</v>
      </c>
    </row>
    <row r="63" spans="1:10" x14ac:dyDescent="0.25">
      <c r="A63" s="4" t="s">
        <v>123</v>
      </c>
      <c r="C63" s="6">
        <f t="shared" ref="C63:J63" si="22">C25*(1+(C6+(C13-C6)*1/5))</f>
        <v>0</v>
      </c>
      <c r="D63" s="6">
        <f t="shared" si="22"/>
        <v>757.58853878774482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124</v>
      </c>
      <c r="C64" s="6">
        <f t="shared" ref="C64:J64" si="23">C63*(1+(C6+(C13-C6)*2/5))</f>
        <v>0</v>
      </c>
      <c r="D64" s="6">
        <f t="shared" si="23"/>
        <v>772.09029354082122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125</v>
      </c>
      <c r="C65" s="6">
        <f t="shared" ref="C65:J65" si="24">C64*(1+(C6+(C13-C6)*3/5))</f>
        <v>0</v>
      </c>
      <c r="D65" s="6">
        <f t="shared" si="24"/>
        <v>786.53841147406843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126</v>
      </c>
      <c r="C66" s="6">
        <f t="shared" ref="C66:J66" si="25">C65*(1+(C6+(C13-C6)*4/5))</f>
        <v>0</v>
      </c>
      <c r="D66" s="6">
        <f t="shared" si="25"/>
        <v>800.91946929022083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127</v>
      </c>
      <c r="C67" s="6">
        <f t="shared" ref="C67:J67" si="26">C66*(1+(C6+(C13-C6)*5/5))</f>
        <v>0</v>
      </c>
      <c r="D67" s="6">
        <f t="shared" si="26"/>
        <v>815.21987305038851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128</v>
      </c>
      <c r="C69" s="11">
        <f t="shared" ref="C69:J69" si="27">IF(ISBLANK(C9),C7,C9)</f>
        <v>0</v>
      </c>
      <c r="D69" s="11">
        <f t="shared" si="27"/>
        <v>0.08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129</v>
      </c>
      <c r="C70" s="11">
        <f t="shared" ref="C70:J70" si="28">IF(ISBLANK(C9),C7,C9)</f>
        <v>0</v>
      </c>
      <c r="D70" s="11">
        <f t="shared" si="28"/>
        <v>0.08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130</v>
      </c>
      <c r="C71" s="11">
        <f t="shared" ref="C71:J71" si="29">IF(ISBLANK(C9),C7,C9)</f>
        <v>0</v>
      </c>
      <c r="D71" s="11">
        <f t="shared" si="29"/>
        <v>0.08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131</v>
      </c>
      <c r="C72" s="11">
        <f t="shared" ref="C72:J72" si="30">IF(ISBLANK(C9),C7,C9)</f>
        <v>0</v>
      </c>
      <c r="D72" s="11">
        <f t="shared" si="30"/>
        <v>0.08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132</v>
      </c>
      <c r="C73" s="11">
        <f t="shared" ref="C73:J73" si="31">IF(ISBLANK(C9),C7,C9)</f>
        <v>0</v>
      </c>
      <c r="D73" s="11">
        <f t="shared" si="31"/>
        <v>0.08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133</v>
      </c>
      <c r="C75" s="6">
        <f t="shared" ref="C75:J79" si="32">C63*C69</f>
        <v>0</v>
      </c>
      <c r="D75" s="6">
        <f t="shared" si="32"/>
        <v>60.60708310301959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134</v>
      </c>
      <c r="C76" s="6">
        <f t="shared" si="32"/>
        <v>0</v>
      </c>
      <c r="D76" s="6">
        <f t="shared" si="32"/>
        <v>61.767223483265703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135</v>
      </c>
      <c r="C77" s="6">
        <f t="shared" si="32"/>
        <v>0</v>
      </c>
      <c r="D77" s="6">
        <f t="shared" si="32"/>
        <v>62.923072917925474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136</v>
      </c>
      <c r="C78" s="6">
        <f t="shared" si="32"/>
        <v>0</v>
      </c>
      <c r="D78" s="6">
        <f t="shared" si="32"/>
        <v>64.073557543217674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137</v>
      </c>
      <c r="C79" s="6">
        <f t="shared" si="32"/>
        <v>0</v>
      </c>
      <c r="D79" s="6">
        <f t="shared" si="32"/>
        <v>65.217589844031082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138</v>
      </c>
      <c r="C81" s="6">
        <f>C75*(1-Inputs!B22)</f>
        <v>0</v>
      </c>
      <c r="D81" s="6">
        <f>D75*(1-Inputs!B22)</f>
        <v>43.637099834174101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139</v>
      </c>
      <c r="C82" s="6">
        <f>C76*(1-Inputs!B22)</f>
        <v>0</v>
      </c>
      <c r="D82" s="6">
        <f>D76*(1-Inputs!B22)</f>
        <v>44.472400907951304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140</v>
      </c>
      <c r="C83" s="6">
        <f>C77*(1-Inputs!B22)</f>
        <v>0</v>
      </c>
      <c r="D83" s="6">
        <f>D77*(1-Inputs!B22)</f>
        <v>45.304612500906337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141</v>
      </c>
      <c r="C84" s="6">
        <f>C78*(1-Inputs!B22)</f>
        <v>0</v>
      </c>
      <c r="D84" s="6">
        <f>D78*(1-Inputs!B22)</f>
        <v>46.132961431116726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142</v>
      </c>
      <c r="C85" s="6">
        <f>C79*(1-Inputs!B22)</f>
        <v>0</v>
      </c>
      <c r="D85" s="6">
        <f>D79*(1-Inputs!B22)</f>
        <v>46.956664687702379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143</v>
      </c>
      <c r="C87" s="6">
        <f t="shared" ref="C87:J87" si="33">C63*MAX(IF(ISBLANK(C26),C12,C26),0)</f>
        <v>0</v>
      </c>
      <c r="D87" s="6">
        <f t="shared" si="33"/>
        <v>15.151770775754898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144</v>
      </c>
      <c r="C88" s="6">
        <f t="shared" ref="C88:J88" si="34">C64*MAX(IF(ISBLANK(C26),C12,C26),0)</f>
        <v>0</v>
      </c>
      <c r="D88" s="6">
        <f t="shared" si="34"/>
        <v>15.441805870816426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145</v>
      </c>
      <c r="C89" s="6">
        <f t="shared" ref="C89:J89" si="35">C65*MAX(IF(ISBLANK(C26),C12,C26),0)</f>
        <v>0</v>
      </c>
      <c r="D89" s="6">
        <f t="shared" si="35"/>
        <v>15.730768229481368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146</v>
      </c>
      <c r="C90" s="6">
        <f t="shared" ref="C90:J90" si="36">C66*MAX(IF(ISBLANK(C26),C12,C26),0)</f>
        <v>0</v>
      </c>
      <c r="D90" s="6">
        <f t="shared" si="36"/>
        <v>16.018389385804419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147</v>
      </c>
      <c r="C91" s="6">
        <f t="shared" ref="C91:J91" si="37">C67*MAX(IF(ISBLANK(C26),C12,C26),0)</f>
        <v>0</v>
      </c>
      <c r="D91" s="6">
        <f t="shared" si="37"/>
        <v>16.30439746100777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148</v>
      </c>
      <c r="C93" s="6">
        <f t="shared" ref="C93:J97" si="38">C81-C87</f>
        <v>0</v>
      </c>
      <c r="D93" s="6">
        <f t="shared" si="38"/>
        <v>28.485329058419204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149</v>
      </c>
      <c r="C94" s="6">
        <f t="shared" si="38"/>
        <v>0</v>
      </c>
      <c r="D94" s="6">
        <f t="shared" si="38"/>
        <v>29.03059503713488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150</v>
      </c>
      <c r="C95" s="6">
        <f t="shared" si="38"/>
        <v>0</v>
      </c>
      <c r="D95" s="6">
        <f t="shared" si="38"/>
        <v>29.573844271424967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151</v>
      </c>
      <c r="C96" s="6">
        <f t="shared" si="38"/>
        <v>0</v>
      </c>
      <c r="D96" s="6">
        <f t="shared" si="38"/>
        <v>30.114572045312308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152</v>
      </c>
      <c r="C97" s="6">
        <f t="shared" si="38"/>
        <v>0</v>
      </c>
      <c r="D97" s="6">
        <f t="shared" si="38"/>
        <v>30.652267226694608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153</v>
      </c>
      <c r="C99" s="6">
        <f t="shared" ref="C99:J99" si="39">C93/(((1+C16)*(1+C16+(C104-C16)*1/5)*(1+C16+(C104-C16)*2/5)*(1+C16+(C104-C16)*3/5)*(1+C16+(C104-C16)*4/5))*(1+C104)^1)</f>
        <v>0</v>
      </c>
      <c r="D99" s="6">
        <f t="shared" si="39"/>
        <v>18.336043144870068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154</v>
      </c>
      <c r="C100" s="6">
        <f t="shared" ref="C100:J100" si="40">C94/(((1+C16)*(1+C16+(C104-C16)*1/5)*(1+C16+(C104-C16)*2/5)*(1+C16+(C104-C16)*3/5)*(1+C16+(C104-C16)*4/5))*(1+C104)^2)</f>
        <v>0</v>
      </c>
      <c r="D100" s="6">
        <f t="shared" si="40"/>
        <v>17.357801735829415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155</v>
      </c>
      <c r="C101" s="6">
        <f t="shared" ref="C101:J101" si="41">C95/(((1+C16)*(1+C16+(C104-C16)*1/5)*(1+C16+(C104-C16)*2/5)*(1+C16+(C104-C16)*3/5)*(1+C16+(C104-C16)*4/5))*(1+C104)^3)</f>
        <v>0</v>
      </c>
      <c r="D101" s="6">
        <f t="shared" si="41"/>
        <v>16.424833353636533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156</v>
      </c>
      <c r="C102" s="6">
        <f t="shared" ref="C102:J102" si="42">C96/(((1+C16)*(1+C16+(C104-C16)*1/5)*(1+C16+(C104-C16)*2/5)*(1+C16+(C104-C16)*3/5)*(1+C16+(C104-C16)*4/5))*(1+C104)^4)</f>
        <v>0</v>
      </c>
      <c r="D102" s="6">
        <f t="shared" si="42"/>
        <v>15.535466202072312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157</v>
      </c>
      <c r="C103" s="6">
        <f t="shared" ref="C103:J103" si="43">C97/(((1+C16)*(1+C16+(C104-C16)*1/5)*(1+C16+(C104-C16)*2/5)*(1+C16+(C104-C16)*3/5)*(1+C16+(C104-C16)*4/5))*(1+C104)^5)</f>
        <v>0</v>
      </c>
      <c r="D103" s="6">
        <f t="shared" si="43"/>
        <v>14.688065552796589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158</v>
      </c>
      <c r="C104" s="11">
        <f>MAX((Inputs!B18+((1+(1-Inputs!B22)*(Inputs!B36/(1-Inputs!B36)))/(1+(1-Inputs!B22)*0.25))*Inputs!B19+IF(ISBLANK(C17),Inputs!B24,C17)+Inputs!B25+Inputs!B39)*(1-Inputs!B36)+Inputs!B38*Inputs!B36,C15)</f>
        <v>7.6578235237883749E-2</v>
      </c>
      <c r="D104" s="11">
        <f>MAX((Inputs!B18+((1+(1-Inputs!B22)*(Inputs!B36/(1-Inputs!B36)))/(1+(1-Inputs!B22)*0.25))*Inputs!B19+IF(ISBLANK(D17),Inputs!B24,D17)+Inputs!B25+Inputs!B39)*(1-Inputs!B36)+Inputs!B38*Inputs!B36,D15)</f>
        <v>7.6578235237883749E-2</v>
      </c>
      <c r="E104" s="11">
        <f>MAX((Inputs!B18+((1+(1-Inputs!B22)*(Inputs!B36/(1-Inputs!B36)))/(1+(1-Inputs!B22)*0.25))*Inputs!B19+IF(ISBLANK(E17),Inputs!B24,E17)+Inputs!B25+Inputs!B39)*(1-Inputs!B36)+Inputs!B38*Inputs!B36,E15)</f>
        <v>7.6578235237883749E-2</v>
      </c>
      <c r="F104" s="11">
        <f>MAX((Inputs!B18+((1+(1-Inputs!B22)*(Inputs!B36/(1-Inputs!B36)))/(1+(1-Inputs!B22)*0.25))*Inputs!B19+IF(ISBLANK(F17),Inputs!B24,F17)+Inputs!B25+Inputs!B39)*(1-Inputs!B36)+Inputs!B38*Inputs!B36,F15)</f>
        <v>7.6578235237883749E-2</v>
      </c>
      <c r="G104" s="11">
        <f>MAX((Inputs!B18+((1+(1-Inputs!B22)*(Inputs!B36/(1-Inputs!B36)))/(1+(1-Inputs!B22)*0.25))*Inputs!B19+IF(ISBLANK(G17),Inputs!B24,G17)+Inputs!B25+Inputs!B39)*(1-Inputs!B36)+Inputs!B38*Inputs!B36,G15)</f>
        <v>7.6578235237883749E-2</v>
      </c>
      <c r="H104" s="11">
        <f>MAX((Inputs!B18+((1+(1-Inputs!B22)*(Inputs!B36/(1-Inputs!B36)))/(1+(1-Inputs!B22)*0.25))*Inputs!B19+IF(ISBLANK(H17),Inputs!B24,H17)+Inputs!B25+Inputs!B39)*(1-Inputs!B36)+Inputs!B38*Inputs!B36,H15)</f>
        <v>7.6578235237883749E-2</v>
      </c>
      <c r="I104" s="11">
        <f>MAX((Inputs!B18+((1+(1-Inputs!B22)*(Inputs!B36/(1-Inputs!B36)))/(1+(1-Inputs!B22)*0.25))*Inputs!B19+IF(ISBLANK(I17),Inputs!B24,I17)+Inputs!B25+Inputs!B39)*(1-Inputs!B36)+Inputs!B38*Inputs!B36,I15)</f>
        <v>7.6578235237883749E-2</v>
      </c>
      <c r="J104" s="11">
        <f>MAX((Inputs!B18+((1+(1-Inputs!B22)*(Inputs!B36/(1-Inputs!B36)))/(1+(1-Inputs!B22)*0.25))*Inputs!B19+IF(ISBLANK(J17),Inputs!B24,J17)+Inputs!B25+Inputs!B39)*(1-Inputs!B36)+Inputs!B38*Inputs!B36,J15)</f>
        <v>7.6578235237883749E-2</v>
      </c>
    </row>
    <row r="105" spans="1:11" x14ac:dyDescent="0.25">
      <c r="A105" s="4" t="s">
        <v>159</v>
      </c>
      <c r="C105" s="6">
        <f t="shared" ref="C105:J105" si="44">SUM(C57:C61,C99:C103)</f>
        <v>0</v>
      </c>
      <c r="D105" s="6">
        <f t="shared" si="44"/>
        <v>120.33808220072538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160</v>
      </c>
      <c r="C106" s="6">
        <f t="shared" ref="C106:J106" si="45">IF(C5=0,0,C97*(1+C13)/(C104-C13))</f>
        <v>0</v>
      </c>
      <c r="D106" s="6">
        <f t="shared" si="45"/>
        <v>531.29828346525073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161</v>
      </c>
      <c r="C107" s="6">
        <f t="shared" ref="C107:J107" si="46">C106/(((1+C16)*(1+C16+(C104-C16)*1/5)*(1+C16+(C104-C16)*2/5)*(1+C16+(C104-C16)*3/5)*(1+C16+(C104-C16)*4/5))*(1+C104)^5)</f>
        <v>0</v>
      </c>
      <c r="D107" s="6">
        <f t="shared" si="46"/>
        <v>254.58945525666502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162</v>
      </c>
      <c r="C109" s="20">
        <f t="shared" ref="C109:J109" si="47">C105+C107</f>
        <v>0</v>
      </c>
      <c r="D109" s="20">
        <f t="shared" si="47"/>
        <v>374.92753745739037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374.92753745739037</v>
      </c>
    </row>
    <row r="110" spans="1:11" x14ac:dyDescent="0.25">
      <c r="A110" s="4" t="s">
        <v>163</v>
      </c>
      <c r="K110" s="11">
        <f>IFERROR(SUMPRODUCT(C109:J109,C16:J16)/SUM(C109:J109),0)</f>
        <v>7.5786886163442285E-2</v>
      </c>
    </row>
    <row r="111" spans="1:11" x14ac:dyDescent="0.25">
      <c r="A111" s="4" t="s">
        <v>164</v>
      </c>
      <c r="K111" s="5">
        <f>3533.9-SUM(B135:J135)</f>
        <v>1535.4</v>
      </c>
    </row>
    <row r="112" spans="1:11" x14ac:dyDescent="0.25">
      <c r="A112" s="4" t="s">
        <v>165</v>
      </c>
      <c r="K112" s="5">
        <v>0</v>
      </c>
    </row>
    <row r="113" spans="1:11" x14ac:dyDescent="0.25">
      <c r="A113" s="4" t="s">
        <v>166</v>
      </c>
      <c r="K113" s="5">
        <v>0</v>
      </c>
    </row>
    <row r="114" spans="1:11" x14ac:dyDescent="0.25">
      <c r="A114" s="4" t="s">
        <v>167</v>
      </c>
      <c r="K114" s="5">
        <f>0+SUM(B134:J134)</f>
        <v>4267.1286</v>
      </c>
    </row>
    <row r="115" spans="1:11" x14ac:dyDescent="0.25">
      <c r="A115" s="4" t="s">
        <v>168</v>
      </c>
      <c r="K115" s="5">
        <v>0</v>
      </c>
    </row>
    <row r="116" spans="1:11" x14ac:dyDescent="0.25">
      <c r="A116" s="4" t="s">
        <v>169</v>
      </c>
      <c r="K116" s="5">
        <v>0</v>
      </c>
    </row>
    <row r="117" spans="1:11" x14ac:dyDescent="0.25">
      <c r="A117" s="4" t="s">
        <v>170</v>
      </c>
      <c r="K117" s="5">
        <v>0</v>
      </c>
    </row>
    <row r="118" spans="1:11" x14ac:dyDescent="0.25">
      <c r="A118" s="4" t="s">
        <v>171</v>
      </c>
      <c r="K118" s="5">
        <v>0</v>
      </c>
    </row>
    <row r="119" spans="1:11" x14ac:dyDescent="0.25">
      <c r="A119" s="4" t="s">
        <v>172</v>
      </c>
      <c r="K119" s="20">
        <f>K109+K113+K114+K115+K116+K117+K118+K121-K111-K112</f>
        <v>3049.6561374573898</v>
      </c>
    </row>
    <row r="120" spans="1:11" x14ac:dyDescent="0.25">
      <c r="A120" s="4" t="s">
        <v>173</v>
      </c>
      <c r="K120" s="6">
        <f>Inputs!B11</f>
        <v>69</v>
      </c>
    </row>
    <row r="121" spans="1:11" x14ac:dyDescent="0.25">
      <c r="A121" s="4" t="s">
        <v>174</v>
      </c>
      <c r="K121" s="21">
        <f>-(Inputs!B41+Inputs!B42)</f>
        <v>-57</v>
      </c>
    </row>
    <row r="122" spans="1:11" ht="15.75" customHeight="1" x14ac:dyDescent="0.25">
      <c r="A122" s="4" t="s">
        <v>175</v>
      </c>
      <c r="K122" s="22">
        <f>K119/K120</f>
        <v>44.197915035614344</v>
      </c>
    </row>
    <row r="124" spans="1:11" x14ac:dyDescent="0.25">
      <c r="A124" t="s">
        <v>176</v>
      </c>
    </row>
    <row r="125" spans="1:11" x14ac:dyDescent="0.25">
      <c r="A125" t="s">
        <v>177</v>
      </c>
      <c r="B125" t="s">
        <v>178</v>
      </c>
    </row>
    <row r="126" spans="1:11" x14ac:dyDescent="0.25">
      <c r="A126" t="s">
        <v>179</v>
      </c>
      <c r="B126" t="s">
        <v>180</v>
      </c>
    </row>
    <row r="127" spans="1:11" x14ac:dyDescent="0.25">
      <c r="A127" t="s">
        <v>181</v>
      </c>
      <c r="B127" t="s">
        <v>8</v>
      </c>
    </row>
    <row r="128" spans="1:11" x14ac:dyDescent="0.25">
      <c r="A128" t="s">
        <v>182</v>
      </c>
      <c r="B128">
        <v>1</v>
      </c>
    </row>
    <row r="129" spans="1:2" x14ac:dyDescent="0.25">
      <c r="A129" t="s">
        <v>214</v>
      </c>
      <c r="B129">
        <v>7851.9</v>
      </c>
    </row>
    <row r="130" spans="1:2" x14ac:dyDescent="0.25">
      <c r="A130" t="s">
        <v>184</v>
      </c>
      <c r="B130">
        <v>1998.5</v>
      </c>
    </row>
    <row r="131" spans="1:2" x14ac:dyDescent="0.25">
      <c r="A131" t="s">
        <v>185</v>
      </c>
      <c r="B131">
        <f>B129-B130</f>
        <v>5853.4</v>
      </c>
    </row>
    <row r="132" spans="1:2" x14ac:dyDescent="0.25">
      <c r="A132" t="s">
        <v>186</v>
      </c>
      <c r="B132">
        <v>0.72899999999999998</v>
      </c>
    </row>
    <row r="133" spans="1:2" x14ac:dyDescent="0.25">
      <c r="A133" t="s">
        <v>187</v>
      </c>
      <c r="B133">
        <f>B131*B132</f>
        <v>4267.1286</v>
      </c>
    </row>
    <row r="134" spans="1:2" x14ac:dyDescent="0.25">
      <c r="A134" t="s">
        <v>188</v>
      </c>
      <c r="B134">
        <f>B133*B128*(1+B143)</f>
        <v>4267.1286</v>
      </c>
    </row>
    <row r="135" spans="1:2" x14ac:dyDescent="0.25">
      <c r="A135" t="s">
        <v>189</v>
      </c>
      <c r="B135">
        <f>B130*B128</f>
        <v>1998.5</v>
      </c>
    </row>
    <row r="136" spans="1:2" x14ac:dyDescent="0.25">
      <c r="A136" t="s">
        <v>190</v>
      </c>
    </row>
    <row r="137" spans="1:2" x14ac:dyDescent="0.25">
      <c r="A137" t="s">
        <v>191</v>
      </c>
      <c r="B137" t="s">
        <v>192</v>
      </c>
    </row>
    <row r="138" spans="1:2" x14ac:dyDescent="0.25">
      <c r="A138" t="s">
        <v>193</v>
      </c>
      <c r="B138" t="s">
        <v>194</v>
      </c>
    </row>
    <row r="139" spans="1:2" x14ac:dyDescent="0.25">
      <c r="A139" t="s">
        <v>195</v>
      </c>
      <c r="B139" t="s">
        <v>196</v>
      </c>
    </row>
    <row r="140" spans="1:2" x14ac:dyDescent="0.25">
      <c r="A140" t="s">
        <v>197</v>
      </c>
      <c r="B140" t="s">
        <v>198</v>
      </c>
    </row>
    <row r="141" spans="1:2" x14ac:dyDescent="0.25">
      <c r="A141" t="s">
        <v>215</v>
      </c>
      <c r="B141" t="s">
        <v>216</v>
      </c>
    </row>
    <row r="142" spans="1:2" x14ac:dyDescent="0.25">
      <c r="A142" t="s">
        <v>201</v>
      </c>
      <c r="B142" t="s">
        <v>202</v>
      </c>
    </row>
    <row r="143" spans="1:2" x14ac:dyDescent="0.25">
      <c r="A143" t="s">
        <v>217</v>
      </c>
      <c r="B143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140625" defaultRowHeight="15" x14ac:dyDescent="0.25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75" customHeight="1" x14ac:dyDescent="0.3">
      <c r="A1" s="1" t="s">
        <v>218</v>
      </c>
    </row>
    <row r="2" spans="1:5" x14ac:dyDescent="0.25">
      <c r="A2" s="2" t="s">
        <v>219</v>
      </c>
    </row>
    <row r="3" spans="1:5" x14ac:dyDescent="0.25">
      <c r="A3" s="2" t="s">
        <v>220</v>
      </c>
    </row>
    <row r="4" spans="1:5" x14ac:dyDescent="0.25">
      <c r="A4" s="23" t="s">
        <v>221</v>
      </c>
      <c r="B4" s="23" t="s">
        <v>222</v>
      </c>
      <c r="C4" s="23" t="s">
        <v>223</v>
      </c>
      <c r="D4" s="23" t="s">
        <v>224</v>
      </c>
      <c r="E4" s="23" t="s">
        <v>225</v>
      </c>
    </row>
    <row r="5" spans="1:5" ht="30" customHeight="1" x14ac:dyDescent="0.25">
      <c r="A5" s="24"/>
      <c r="B5" s="5"/>
      <c r="C5" s="7"/>
      <c r="D5" s="6" t="str">
        <f>IF(ISNUMBER(B5),B5*C5,"")</f>
        <v/>
      </c>
      <c r="E5" s="25"/>
    </row>
    <row r="6" spans="1:5" ht="30" customHeight="1" x14ac:dyDescent="0.25">
      <c r="A6" s="24"/>
      <c r="B6" s="5"/>
      <c r="C6" s="7"/>
      <c r="D6" s="6" t="str">
        <f>IF(ISNUMBER(B6),B6*C6,"")</f>
        <v/>
      </c>
      <c r="E6" s="25"/>
    </row>
    <row r="7" spans="1:5" ht="30" customHeight="1" x14ac:dyDescent="0.25">
      <c r="A7" s="24"/>
      <c r="B7" s="5"/>
      <c r="C7" s="7"/>
      <c r="D7" s="6" t="str">
        <f>IF(ISNUMBER(B7),B7*C7,"")</f>
        <v/>
      </c>
      <c r="E7" s="25"/>
    </row>
    <row r="8" spans="1:5" ht="30" customHeight="1" x14ac:dyDescent="0.25">
      <c r="A8" s="24"/>
      <c r="B8" s="5"/>
      <c r="C8" s="7"/>
      <c r="D8" s="6" t="str">
        <f>IF(ISNUMBER(B8),B8*C8,"")</f>
        <v/>
      </c>
      <c r="E8" s="25"/>
    </row>
    <row r="9" spans="1:5" ht="30" customHeight="1" x14ac:dyDescent="0.25">
      <c r="A9" s="24"/>
      <c r="B9" s="5"/>
      <c r="C9" s="7"/>
      <c r="D9" s="6" t="str">
        <f>IF(ISNUMBER(B9),B9*C9,"")</f>
        <v/>
      </c>
      <c r="E9" s="25"/>
    </row>
    <row r="11" spans="1:5" x14ac:dyDescent="0.25">
      <c r="C11" s="4" t="s">
        <v>226</v>
      </c>
      <c r="D11" s="20">
        <f>SUM(D5:D9)</f>
        <v>0</v>
      </c>
    </row>
    <row r="12" spans="1:5" x14ac:dyDescent="0.25">
      <c r="C12" s="4" t="s">
        <v>227</v>
      </c>
      <c r="D12" s="20">
        <f>IF(Inputs!B11&gt;0,D11/Inputs!B11,"")</f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140625" defaultRowHeight="15" x14ac:dyDescent="0.25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75" customHeight="1" x14ac:dyDescent="0.3">
      <c r="A1" s="1" t="s">
        <v>228</v>
      </c>
    </row>
    <row r="2" spans="1:12" x14ac:dyDescent="0.25">
      <c r="A2" s="2" t="s">
        <v>229</v>
      </c>
    </row>
    <row r="4" spans="1:12" x14ac:dyDescent="0.25">
      <c r="A4" s="3" t="s">
        <v>230</v>
      </c>
    </row>
    <row r="5" spans="1:12" ht="30" customHeight="1" x14ac:dyDescent="0.25">
      <c r="A5" s="26" t="s">
        <v>231</v>
      </c>
      <c r="B5" s="26" t="s">
        <v>232</v>
      </c>
      <c r="C5" s="26" t="s">
        <v>233</v>
      </c>
      <c r="D5" s="26" t="s">
        <v>234</v>
      </c>
      <c r="E5" s="26" t="s">
        <v>235</v>
      </c>
      <c r="F5" s="26" t="s">
        <v>236</v>
      </c>
      <c r="G5" s="26" t="s">
        <v>237</v>
      </c>
      <c r="H5" s="26" t="s">
        <v>238</v>
      </c>
      <c r="I5" s="26" t="s">
        <v>239</v>
      </c>
      <c r="J5" s="26" t="s">
        <v>240</v>
      </c>
      <c r="K5" s="26" t="s">
        <v>241</v>
      </c>
      <c r="L5" s="26" t="s">
        <v>242</v>
      </c>
    </row>
    <row r="6" spans="1:12" x14ac:dyDescent="0.25">
      <c r="A6" s="37" t="s">
        <v>243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x14ac:dyDescent="0.25">
      <c r="A7" s="37" t="s">
        <v>58</v>
      </c>
      <c r="B7" s="38">
        <v>0.06</v>
      </c>
      <c r="C7" s="38">
        <v>0.04</v>
      </c>
      <c r="D7" s="38">
        <v>0.02</v>
      </c>
      <c r="E7" s="38">
        <v>8.4580066743335097E-2</v>
      </c>
      <c r="F7" s="38">
        <v>5.6000000000000001E-2</v>
      </c>
      <c r="G7" s="38">
        <v>2.2656588799442389E-2</v>
      </c>
      <c r="H7" s="38">
        <v>2.9763344457222521E-2</v>
      </c>
      <c r="I7" s="38">
        <v>2.5000000000000001E-2</v>
      </c>
      <c r="J7" s="38">
        <v>1.7854983314166229E-2</v>
      </c>
      <c r="K7" s="39">
        <v>1</v>
      </c>
      <c r="L7" s="39">
        <v>3</v>
      </c>
    </row>
    <row r="8" spans="1:12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5" spans="1:12" x14ac:dyDescent="0.25">
      <c r="A15" s="3" t="s">
        <v>244</v>
      </c>
    </row>
    <row r="16" spans="1:12" x14ac:dyDescent="0.25">
      <c r="A16" s="23" t="s">
        <v>245</v>
      </c>
      <c r="B16" s="23" t="s">
        <v>246</v>
      </c>
      <c r="C16" s="23" t="s">
        <v>247</v>
      </c>
      <c r="D16" s="23" t="s">
        <v>248</v>
      </c>
      <c r="E16" s="23" t="s">
        <v>249</v>
      </c>
    </row>
    <row r="17" spans="1:5" x14ac:dyDescent="0.25">
      <c r="A17" s="4" t="s">
        <v>250</v>
      </c>
      <c r="B17" s="6">
        <f>'DCF Bull'!K122</f>
        <v>143.48488241874853</v>
      </c>
      <c r="C17" s="40">
        <v>0.22</v>
      </c>
      <c r="D17" s="28" t="s">
        <v>251</v>
      </c>
      <c r="E17" s="6">
        <f>MAX(B17,0)</f>
        <v>143.48488241874853</v>
      </c>
    </row>
    <row r="18" spans="1:5" x14ac:dyDescent="0.25">
      <c r="A18" s="4" t="s">
        <v>252</v>
      </c>
      <c r="B18" s="6">
        <f>'DCF Base'!K122</f>
        <v>93.57199871087937</v>
      </c>
      <c r="C18" s="40">
        <v>0.6</v>
      </c>
      <c r="D18" s="28" t="s">
        <v>253</v>
      </c>
      <c r="E18" s="6">
        <f>MAX(B18,0)</f>
        <v>93.57199871087937</v>
      </c>
    </row>
    <row r="19" spans="1:5" x14ac:dyDescent="0.25">
      <c r="A19" s="4" t="s">
        <v>254</v>
      </c>
      <c r="B19" s="6">
        <f>'DCF Bear'!K122</f>
        <v>44.197915035614344</v>
      </c>
      <c r="C19" s="40">
        <v>0.18</v>
      </c>
      <c r="D19" s="28" t="s">
        <v>255</v>
      </c>
      <c r="E19" s="6">
        <f>MAX(B19,0)</f>
        <v>44.197915035614344</v>
      </c>
    </row>
    <row r="20" spans="1:5" x14ac:dyDescent="0.25">
      <c r="A20" s="2" t="s">
        <v>256</v>
      </c>
    </row>
    <row r="21" spans="1:5" ht="15.75" customHeight="1" x14ac:dyDescent="0.25">
      <c r="A21" s="19" t="s">
        <v>257</v>
      </c>
      <c r="B21" s="22">
        <f>MAX(0,B17*C17+B18*C18+B19*C19)</f>
        <v>95.665498065062877</v>
      </c>
      <c r="D21" s="2" t="s">
        <v>258</v>
      </c>
      <c r="E21" s="6">
        <f>B17*C17+B18*C18+B19*C19</f>
        <v>95.665498065062877</v>
      </c>
    </row>
    <row r="22" spans="1:5" x14ac:dyDescent="0.25">
      <c r="A22" s="2" t="s">
        <v>259</v>
      </c>
      <c r="B22" s="41" t="s">
        <v>260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6"/>
  <sheetViews>
    <sheetView workbookViewId="0"/>
  </sheetViews>
  <sheetFormatPr baseColWidth="10" defaultColWidth="9.140625" defaultRowHeight="15" x14ac:dyDescent="0.25"/>
  <cols>
    <col min="1" max="1" width="34" customWidth="1"/>
    <col min="2" max="5" width="14" customWidth="1"/>
  </cols>
  <sheetData>
    <row r="1" spans="1:5" ht="17.25" customHeight="1" x14ac:dyDescent="0.3">
      <c r="A1" s="29" t="s">
        <v>261</v>
      </c>
    </row>
    <row r="2" spans="1:5" x14ac:dyDescent="0.25">
      <c r="A2" s="2" t="s">
        <v>262</v>
      </c>
    </row>
    <row r="4" spans="1:5" x14ac:dyDescent="0.25">
      <c r="A4" s="4" t="s">
        <v>263</v>
      </c>
      <c r="B4" s="42">
        <v>235.47</v>
      </c>
    </row>
    <row r="5" spans="1:5" x14ac:dyDescent="0.25">
      <c r="A5" s="4" t="s">
        <v>264</v>
      </c>
      <c r="B5" s="42">
        <v>95.67</v>
      </c>
    </row>
    <row r="6" spans="1:5" x14ac:dyDescent="0.25">
      <c r="A6" s="4" t="s">
        <v>265</v>
      </c>
      <c r="B6" s="30">
        <f>(B5-B4)/B4</f>
        <v>-0.59370620461205259</v>
      </c>
    </row>
    <row r="7" spans="1:5" x14ac:dyDescent="0.25">
      <c r="A7" s="4" t="s">
        <v>266</v>
      </c>
      <c r="B7" s="43" t="s">
        <v>267</v>
      </c>
    </row>
    <row r="8" spans="1:5" x14ac:dyDescent="0.25">
      <c r="A8" t="s">
        <v>268</v>
      </c>
      <c r="C8" s="43" t="s">
        <v>269</v>
      </c>
      <c r="D8" s="43" t="s">
        <v>269</v>
      </c>
      <c r="E8" s="43" t="s">
        <v>269</v>
      </c>
    </row>
    <row r="9" spans="1:5" x14ac:dyDescent="0.25">
      <c r="B9" s="32" t="s">
        <v>252</v>
      </c>
      <c r="C9" s="32" t="s">
        <v>270</v>
      </c>
      <c r="D9" s="32" t="s">
        <v>271</v>
      </c>
      <c r="E9" s="32" t="s">
        <v>272</v>
      </c>
    </row>
    <row r="10" spans="1:5" x14ac:dyDescent="0.25">
      <c r="A10" t="s">
        <v>273</v>
      </c>
      <c r="B10" s="44">
        <v>3538</v>
      </c>
      <c r="C10" s="6">
        <f>B10</f>
        <v>3538</v>
      </c>
      <c r="D10" s="6">
        <f>B10</f>
        <v>3538</v>
      </c>
      <c r="E10" s="6">
        <f t="shared" ref="E10:E15" si="0">B10</f>
        <v>3538</v>
      </c>
    </row>
    <row r="11" spans="1:5" x14ac:dyDescent="0.25">
      <c r="A11" t="s">
        <v>274</v>
      </c>
      <c r="B11" s="45">
        <v>7.2391181458451109E-2</v>
      </c>
      <c r="C11" s="46">
        <v>0.20466308593749999</v>
      </c>
      <c r="D11" s="11">
        <f>B11</f>
        <v>7.2391181458451109E-2</v>
      </c>
      <c r="E11" s="11">
        <f t="shared" si="0"/>
        <v>7.2391181458451109E-2</v>
      </c>
    </row>
    <row r="12" spans="1:5" x14ac:dyDescent="0.25">
      <c r="A12" t="s">
        <v>275</v>
      </c>
      <c r="B12" s="45">
        <v>0.1531735443753533</v>
      </c>
      <c r="C12" s="11">
        <f t="shared" ref="C12:C20" si="1">B12</f>
        <v>0.1531735443753533</v>
      </c>
      <c r="D12" s="11">
        <f>B12</f>
        <v>0.1531735443753533</v>
      </c>
      <c r="E12" s="11">
        <f t="shared" si="0"/>
        <v>0.1531735443753533</v>
      </c>
    </row>
    <row r="13" spans="1:5" x14ac:dyDescent="0.25">
      <c r="A13" t="s">
        <v>276</v>
      </c>
      <c r="B13" s="45">
        <v>0.18692905596382131</v>
      </c>
      <c r="C13" s="11">
        <f t="shared" si="1"/>
        <v>0.18692905596382131</v>
      </c>
      <c r="D13" s="46">
        <v>0.34378662109375002</v>
      </c>
      <c r="E13" s="11">
        <f t="shared" si="0"/>
        <v>0.18692905596382131</v>
      </c>
    </row>
    <row r="14" spans="1:5" x14ac:dyDescent="0.25">
      <c r="A14" t="s">
        <v>277</v>
      </c>
      <c r="B14" s="45">
        <v>4.1195590729225552E-2</v>
      </c>
      <c r="C14" s="11">
        <f t="shared" si="1"/>
        <v>4.1195590729225552E-2</v>
      </c>
      <c r="D14" s="11">
        <f t="shared" ref="D14:D20" si="2">B14</f>
        <v>4.1195590729225552E-2</v>
      </c>
      <c r="E14" s="11">
        <f t="shared" si="0"/>
        <v>4.1195590729225552E-2</v>
      </c>
    </row>
    <row r="15" spans="1:5" x14ac:dyDescent="0.25">
      <c r="A15" t="s">
        <v>76</v>
      </c>
      <c r="B15" s="45">
        <v>2.5000000000000001E-2</v>
      </c>
      <c r="C15" s="11">
        <f t="shared" si="1"/>
        <v>2.5000000000000001E-2</v>
      </c>
      <c r="D15" s="11">
        <f t="shared" si="2"/>
        <v>2.5000000000000001E-2</v>
      </c>
      <c r="E15" s="11">
        <f t="shared" si="0"/>
        <v>2.5000000000000001E-2</v>
      </c>
    </row>
    <row r="16" spans="1:5" x14ac:dyDescent="0.25">
      <c r="A16" t="s">
        <v>278</v>
      </c>
      <c r="B16" s="45">
        <v>7.5786886163442285E-2</v>
      </c>
      <c r="C16" s="11">
        <f t="shared" si="1"/>
        <v>7.5786886163442285E-2</v>
      </c>
      <c r="D16" s="11">
        <f t="shared" si="2"/>
        <v>7.5786886163442285E-2</v>
      </c>
      <c r="E16" s="46">
        <v>4.9684753417968741E-2</v>
      </c>
    </row>
    <row r="17" spans="1:5" x14ac:dyDescent="0.25">
      <c r="A17" t="s">
        <v>279</v>
      </c>
      <c r="B17" s="45">
        <v>0.28000000000000003</v>
      </c>
      <c r="C17" s="11">
        <f t="shared" si="1"/>
        <v>0.28000000000000003</v>
      </c>
      <c r="D17" s="11">
        <f t="shared" si="2"/>
        <v>0.28000000000000003</v>
      </c>
      <c r="E17" s="11">
        <f>B17</f>
        <v>0.28000000000000003</v>
      </c>
    </row>
    <row r="18" spans="1:5" x14ac:dyDescent="0.25">
      <c r="A18" t="s">
        <v>280</v>
      </c>
      <c r="B18" s="44">
        <v>-7786.8</v>
      </c>
      <c r="C18" s="6">
        <f t="shared" si="1"/>
        <v>-7786.8</v>
      </c>
      <c r="D18" s="6">
        <f t="shared" si="2"/>
        <v>-7786.8</v>
      </c>
      <c r="E18" s="6">
        <f>B18</f>
        <v>-7786.8</v>
      </c>
    </row>
    <row r="19" spans="1:5" x14ac:dyDescent="0.25">
      <c r="A19" t="s">
        <v>281</v>
      </c>
      <c r="B19" s="44">
        <v>5803.8</v>
      </c>
      <c r="C19" s="6">
        <f t="shared" si="1"/>
        <v>5803.8</v>
      </c>
      <c r="D19" s="6">
        <f t="shared" si="2"/>
        <v>5803.8</v>
      </c>
      <c r="E19" s="6">
        <f>B19</f>
        <v>5803.8</v>
      </c>
    </row>
    <row r="20" spans="1:5" x14ac:dyDescent="0.25">
      <c r="A20" t="s">
        <v>282</v>
      </c>
      <c r="B20" s="42">
        <v>69</v>
      </c>
      <c r="C20" s="6">
        <f t="shared" si="1"/>
        <v>69</v>
      </c>
      <c r="D20" s="6">
        <f t="shared" si="2"/>
        <v>69</v>
      </c>
      <c r="E20" s="6">
        <f>B20</f>
        <v>69</v>
      </c>
    </row>
    <row r="22" spans="1:5" x14ac:dyDescent="0.25">
      <c r="A22" t="s">
        <v>283</v>
      </c>
      <c r="B22" s="6">
        <f>B10*(1+B11)^1</f>
        <v>3794.12</v>
      </c>
      <c r="C22" s="6">
        <f>C10*(1+C11)^1</f>
        <v>4262.0979980468755</v>
      </c>
      <c r="D22" s="6">
        <f>D10*(1+D11)^1</f>
        <v>3794.12</v>
      </c>
      <c r="E22" s="6">
        <f>E10*(1+E11)^1</f>
        <v>3794.12</v>
      </c>
    </row>
    <row r="23" spans="1:5" x14ac:dyDescent="0.25">
      <c r="A23" t="s">
        <v>284</v>
      </c>
      <c r="B23" s="6">
        <f>B10*(1+B11)^2</f>
        <v>4068.780829395138</v>
      </c>
      <c r="C23" s="6">
        <f>C10*(1+C11)^2</f>
        <v>5134.3921268951899</v>
      </c>
      <c r="D23" s="6">
        <f>D10*(1+D11)^2</f>
        <v>4068.780829395138</v>
      </c>
      <c r="E23" s="6">
        <f>E10*(1+E11)^2</f>
        <v>4068.780829395138</v>
      </c>
    </row>
    <row r="24" spans="1:5" x14ac:dyDescent="0.25">
      <c r="A24" t="s">
        <v>285</v>
      </c>
      <c r="B24" s="6">
        <f>B10*(1+B11)^3</f>
        <v>4363.3246807305486</v>
      </c>
      <c r="C24" s="6">
        <f>C10*(1+C11)^3</f>
        <v>6185.2126639987637</v>
      </c>
      <c r="D24" s="6">
        <f>D10*(1+D11)^3</f>
        <v>4363.3246807305486</v>
      </c>
      <c r="E24" s="6">
        <f>E10*(1+E11)^3</f>
        <v>4363.3246807305486</v>
      </c>
    </row>
    <row r="25" spans="1:5" x14ac:dyDescent="0.25">
      <c r="A25" t="s">
        <v>286</v>
      </c>
      <c r="B25" s="6">
        <f>B10*(1+B11)^4</f>
        <v>4679.1909094554512</v>
      </c>
      <c r="C25" s="6">
        <f>C10*(1+C11)^4</f>
        <v>7451.097374992456</v>
      </c>
      <c r="D25" s="6">
        <f>D10*(1+D11)^4</f>
        <v>4679.1909094554512</v>
      </c>
      <c r="E25" s="6">
        <f>E10*(1+E11)^4</f>
        <v>4679.1909094554512</v>
      </c>
    </row>
    <row r="26" spans="1:5" x14ac:dyDescent="0.25">
      <c r="A26" t="s">
        <v>287</v>
      </c>
      <c r="B26" s="6">
        <f>B10*(1+B11)^5</f>
        <v>5017.9230676605757</v>
      </c>
      <c r="C26" s="6">
        <f>C10*(1+C11)^5</f>
        <v>8976.0619573792173</v>
      </c>
      <c r="D26" s="6">
        <f>D10*(1+D11)^5</f>
        <v>5017.9230676605757</v>
      </c>
      <c r="E26" s="6">
        <f>E10*(1+E11)^5</f>
        <v>5017.9230676605757</v>
      </c>
    </row>
    <row r="27" spans="1:5" x14ac:dyDescent="0.25">
      <c r="A27" t="s">
        <v>288</v>
      </c>
      <c r="B27" s="6">
        <f>B26*(1+(B11+(B15-B11)*1/5))</f>
        <v>5333.6153864673306</v>
      </c>
      <c r="C27" s="6">
        <f>C26*(1+(C11+(C15-C11)*1/5))</f>
        <v>10490.597098976856</v>
      </c>
      <c r="D27" s="6">
        <f>D26*(1+(D11+(D15-D11)*1/5))</f>
        <v>5333.6153864673306</v>
      </c>
      <c r="E27" s="6">
        <f>E26*(1+(E11+(E15-E11)*1/5))</f>
        <v>5333.6153864673306</v>
      </c>
    </row>
    <row r="28" spans="1:5" x14ac:dyDescent="0.25">
      <c r="A28" t="s">
        <v>289</v>
      </c>
      <c r="B28" s="6">
        <f>B27*(1+(B11+(B15-B11)*2/5))</f>
        <v>5618.6155718948094</v>
      </c>
      <c r="C28" s="6">
        <f>C27*(1+(C11+(C15-C11)*2/5))</f>
        <v>11883.725855328776</v>
      </c>
      <c r="D28" s="6">
        <f>D27*(1+(D11+(D15-D11)*2/5))</f>
        <v>5618.6155718948094</v>
      </c>
      <c r="E28" s="6">
        <f>E27*(1+(E11+(E15-E11)*2/5))</f>
        <v>5618.6155718948094</v>
      </c>
    </row>
    <row r="29" spans="1:5" x14ac:dyDescent="0.25">
      <c r="A29" t="s">
        <v>290</v>
      </c>
      <c r="B29" s="6">
        <f>B28*(1+(B11+(B15-B11)*3/5))</f>
        <v>5865.5900932373588</v>
      </c>
      <c r="C29" s="6">
        <f>C28*(1+(C11+(C15-C11)*3/5))</f>
        <v>13034.845745553446</v>
      </c>
      <c r="D29" s="6">
        <f>D28*(1+(D11+(D15-D11)*3/5))</f>
        <v>5865.5900932373588</v>
      </c>
      <c r="E29" s="6">
        <f>E28*(1+(E11+(E15-E11)*3/5))</f>
        <v>5865.5900932373588</v>
      </c>
    </row>
    <row r="30" spans="1:5" x14ac:dyDescent="0.25">
      <c r="A30" t="s">
        <v>291</v>
      </c>
      <c r="B30" s="6">
        <f>B29*(1+(B11+(B15-B11)*4/5))</f>
        <v>6067.8252944621936</v>
      </c>
      <c r="C30" s="6">
        <f>C29*(1+(C11+(C15-C11)*4/5))</f>
        <v>13829.093011465367</v>
      </c>
      <c r="D30" s="6">
        <f>D29*(1+(D11+(D15-D11)*4/5))</f>
        <v>6067.8252944621936</v>
      </c>
      <c r="E30" s="6">
        <f>E29*(1+(E11+(E15-E11)*4/5))</f>
        <v>6067.8252944621936</v>
      </c>
    </row>
    <row r="31" spans="1:5" x14ac:dyDescent="0.25">
      <c r="A31" t="s">
        <v>292</v>
      </c>
      <c r="B31" s="6">
        <f>B30*(1+(B11+(B15-B11)*5/5))</f>
        <v>6219.5209268237477</v>
      </c>
      <c r="C31" s="6">
        <f>C30*(1+(C11+(C15-C11)*5/5))</f>
        <v>14174.820336752</v>
      </c>
      <c r="D31" s="6">
        <f>D30*(1+(D11+(D15-D11)*5/5))</f>
        <v>6219.5209268237477</v>
      </c>
      <c r="E31" s="6">
        <f>E30*(1+(E11+(E15-E11)*5/5))</f>
        <v>6219.5209268237477</v>
      </c>
    </row>
    <row r="33" spans="1:5" x14ac:dyDescent="0.25">
      <c r="A33" t="s">
        <v>293</v>
      </c>
      <c r="B33" s="6">
        <f>B22*(B12+(B13-B12)*0/4)*(1-B17)-B22*B14</f>
        <v>262.13332719592984</v>
      </c>
      <c r="C33" s="6">
        <f>C22*(C12+(C13-C12)*0/4)*(1-C17)-C22*C14</f>
        <v>294.46562814648439</v>
      </c>
      <c r="D33" s="6">
        <f>D22*(D12+(D13-D12)*0/4)*(1-D17)-D22*D14</f>
        <v>262.13332719592984</v>
      </c>
      <c r="E33" s="6">
        <f>E22*(E12+(E13-E12)*0/4)*(1-E17)-E22*E14</f>
        <v>262.13332719592984</v>
      </c>
    </row>
    <row r="34" spans="1:5" x14ac:dyDescent="0.25">
      <c r="A34" t="s">
        <v>294</v>
      </c>
      <c r="B34" s="6">
        <f>B23*(B12+(B13-B12)*1/4)*(1-B17)-B23*B14</f>
        <v>305.83134857004313</v>
      </c>
      <c r="C34" s="6">
        <f>C23*(C12+(C13-C12)*1/4)*(1-C17)-C23*C14</f>
        <v>385.9283982345151</v>
      </c>
      <c r="D34" s="6">
        <f>D23*(D12+(D13-D12)*1/4)*(1-D17)-D23*D14</f>
        <v>420.71077828036857</v>
      </c>
      <c r="E34" s="6">
        <f>E23*(E12+(E13-E12)*1/4)*(1-E17)-E23*E14</f>
        <v>305.83134857004313</v>
      </c>
    </row>
    <row r="35" spans="1:5" x14ac:dyDescent="0.25">
      <c r="A35" t="s">
        <v>295</v>
      </c>
      <c r="B35" s="6">
        <f>B24*(B12+(B13-B12)*2/4)*(1-B17)-B24*B14</f>
        <v>354.48236744849657</v>
      </c>
      <c r="C35" s="6">
        <f>C24*(C12+(C13-C12)*2/4)*(1-C17)-C24*C14</f>
        <v>502.49499836432238</v>
      </c>
      <c r="D35" s="6">
        <f>D24*(D12+(D13-D12)*2/4)*(1-D17)-D24*D14</f>
        <v>600.87374215315492</v>
      </c>
      <c r="E35" s="6">
        <f>E24*(E12+(E13-E12)*2/4)*(1-E17)-E24*E14</f>
        <v>354.48236744849657</v>
      </c>
    </row>
    <row r="36" spans="1:5" x14ac:dyDescent="0.25">
      <c r="A36" t="s">
        <v>296</v>
      </c>
      <c r="B36" s="6">
        <f>B25*(B12+(B13-B12)*3/4)*(1-B17)-B25*B14</f>
        <v>408.57449176866197</v>
      </c>
      <c r="C36" s="6">
        <f>C25*(C12+(C13-C12)*3/4)*(1-C17)-C25*C14</f>
        <v>650.60998407962859</v>
      </c>
      <c r="D36" s="6">
        <f>D25*(D12+(D13-D12)*3/4)*(1-D17)-D25*D14</f>
        <v>804.91639789971259</v>
      </c>
      <c r="E36" s="6">
        <f>E25*(E12+(E13-E12)*3/4)*(1-E17)-E25*E14</f>
        <v>408.57449176866197</v>
      </c>
    </row>
    <row r="37" spans="1:5" x14ac:dyDescent="0.25">
      <c r="A37" t="s">
        <v>297</v>
      </c>
      <c r="B37" s="6">
        <f>B26*(B12+(B13-B12)*4/4)*(1-B17)-B26*B14</f>
        <v>468.64054278846396</v>
      </c>
      <c r="C37" s="6">
        <f>C26*(C12+(C13-C12)*4/4)*(1-C17)-C26*C14</f>
        <v>838.30431257891496</v>
      </c>
      <c r="D37" s="6">
        <f>D26*(D12+(D13-D12)*4/4)*(1-D17)-D26*D14</f>
        <v>1035.351962758293</v>
      </c>
      <c r="E37" s="6">
        <f>E26*(E12+(E13-E12)*4/4)*(1-E17)-E26*E14</f>
        <v>468.64054278846396</v>
      </c>
    </row>
    <row r="38" spans="1:5" x14ac:dyDescent="0.25">
      <c r="A38" t="s">
        <v>298</v>
      </c>
      <c r="B38" s="6">
        <f>B27*B13*(1-B17)-B27*B14</f>
        <v>498.12409955983571</v>
      </c>
      <c r="C38" s="6">
        <f>C27*C13*(1-C17)-C27*C14</f>
        <v>979.75179219550159</v>
      </c>
      <c r="D38" s="6">
        <f>D27*D13*(1-D17)-D27*D14</f>
        <v>1100.489004019604</v>
      </c>
      <c r="E38" s="6">
        <f>E27*E13*(1-E17)-E27*E14</f>
        <v>498.12409955983571</v>
      </c>
    </row>
    <row r="39" spans="1:5" x14ac:dyDescent="0.25">
      <c r="A39" t="s">
        <v>299</v>
      </c>
      <c r="B39" s="6">
        <f>B28*B13*(1-B17)-B28*B14</f>
        <v>524.74121580347207</v>
      </c>
      <c r="C39" s="6">
        <f>C28*C13*(1-C17)-C28*C14</f>
        <v>1109.8607252635732</v>
      </c>
      <c r="D39" s="6">
        <f>D28*D13*(1-D17)-D28*D14</f>
        <v>1159.2933135696078</v>
      </c>
      <c r="E39" s="6">
        <f>E28*E13*(1-E17)-E28*E14</f>
        <v>524.74121580347207</v>
      </c>
    </row>
    <row r="40" spans="1:5" x14ac:dyDescent="0.25">
      <c r="A40" t="s">
        <v>300</v>
      </c>
      <c r="B40" s="6">
        <f>B29*B13*(1-B17)-B29*B14</f>
        <v>547.8069886693072</v>
      </c>
      <c r="C40" s="6">
        <f>C29*C13*(1-C17)-C29*C14</f>
        <v>1217.3676445398366</v>
      </c>
      <c r="D40" s="6">
        <f>D29*D13*(1-D17)-D29*D14</f>
        <v>1210.2517583236265</v>
      </c>
      <c r="E40" s="6">
        <f>E29*E13*(1-E17)-E29*E14</f>
        <v>547.8069886693072</v>
      </c>
    </row>
    <row r="41" spans="1:5" x14ac:dyDescent="0.25">
      <c r="A41" t="s">
        <v>301</v>
      </c>
      <c r="B41" s="6">
        <f>B30*B13*(1-B17)-B30*B14</f>
        <v>566.6944074668869</v>
      </c>
      <c r="C41" s="6">
        <f>C30*C13*(1-C17)-C30*C14</f>
        <v>1291.5450412010314</v>
      </c>
      <c r="D41" s="6">
        <f>D30*D13*(1-D17)-D30*D14</f>
        <v>1251.9791044195422</v>
      </c>
      <c r="E41" s="6">
        <f>E30*E13*(1-E17)-E30*E14</f>
        <v>566.6944074668869</v>
      </c>
    </row>
    <row r="42" spans="1:5" x14ac:dyDescent="0.25">
      <c r="A42" t="s">
        <v>302</v>
      </c>
      <c r="B42" s="6">
        <f>B31*B13*(1-B17)-B31*B14</f>
        <v>580.86176765355913</v>
      </c>
      <c r="C42" s="6">
        <f>C31*C13*(1-C17)-C31*C14</f>
        <v>1323.8336672310566</v>
      </c>
      <c r="D42" s="6">
        <f>D31*D13*(1-D17)-D31*D14</f>
        <v>1283.2785820300307</v>
      </c>
      <c r="E42" s="6">
        <f>E31*E13*(1-E17)-E31*E14</f>
        <v>580.86176765355913</v>
      </c>
    </row>
    <row r="44" spans="1:5" x14ac:dyDescent="0.25">
      <c r="A44" t="s">
        <v>117</v>
      </c>
      <c r="B44" s="6">
        <f>B33/(1+B16)^1</f>
        <v>243.66659472004793</v>
      </c>
      <c r="C44" s="6">
        <f>C33/(1+C16)^1</f>
        <v>273.72115419312405</v>
      </c>
      <c r="D44" s="6">
        <f>D33/(1+D16)^1</f>
        <v>243.66659472004793</v>
      </c>
      <c r="E44" s="6">
        <f>E33/(1+E16)^1</f>
        <v>249.7257641805075</v>
      </c>
    </row>
    <row r="45" spans="1:5" x14ac:dyDescent="0.25">
      <c r="A45" t="s">
        <v>118</v>
      </c>
      <c r="B45" s="6">
        <f>B34/(1+B16)^2</f>
        <v>264.25883004198408</v>
      </c>
      <c r="C45" s="6">
        <f>C34/(1+C16)^2</f>
        <v>333.4680616433692</v>
      </c>
      <c r="D45" s="6">
        <f>D34/(1+D16)^2</f>
        <v>363.52237458404471</v>
      </c>
      <c r="E45" s="6">
        <f>E34/(1+E16)^2</f>
        <v>277.56469275191319</v>
      </c>
    </row>
    <row r="46" spans="1:5" x14ac:dyDescent="0.25">
      <c r="A46" t="s">
        <v>119</v>
      </c>
      <c r="B46" s="6">
        <f>B35/(1+B16)^3</f>
        <v>284.71863947138763</v>
      </c>
      <c r="C46" s="6">
        <f>C35/(1+C16)^3</f>
        <v>403.60171735835036</v>
      </c>
      <c r="D46" s="6">
        <f>D35/(1+D16)^3</f>
        <v>482.61908086241885</v>
      </c>
      <c r="E46" s="6">
        <f>E35/(1+E16)^3</f>
        <v>306.4911721286353</v>
      </c>
    </row>
    <row r="47" spans="1:5" x14ac:dyDescent="0.25">
      <c r="A47" t="s">
        <v>120</v>
      </c>
      <c r="B47" s="6">
        <f>B36/(1+B16)^4</f>
        <v>305.04665384026021</v>
      </c>
      <c r="C47" s="6">
        <f>C36/(1+C16)^4</f>
        <v>485.75327779133323</v>
      </c>
      <c r="D47" s="6">
        <f>D36/(1+D16)^4</f>
        <v>600.96031139283093</v>
      </c>
      <c r="E47" s="6">
        <f>E36/(1+E16)^4</f>
        <v>336.53922673914542</v>
      </c>
    </row>
    <row r="48" spans="1:5" x14ac:dyDescent="0.25">
      <c r="A48" t="s">
        <v>121</v>
      </c>
      <c r="B48" s="6">
        <f>B37/(1+B16)^5</f>
        <v>325.24350131759178</v>
      </c>
      <c r="C48" s="6">
        <f>C37/(1+C16)^5</f>
        <v>581.79565124794158</v>
      </c>
      <c r="D48" s="6">
        <f>D37/(1+D16)^5</f>
        <v>718.54964886285404</v>
      </c>
      <c r="E48" s="6">
        <f>E37/(1+E16)^5</f>
        <v>367.74384412548864</v>
      </c>
    </row>
    <row r="49" spans="1:5" x14ac:dyDescent="0.25">
      <c r="A49" t="s">
        <v>153</v>
      </c>
      <c r="B49" s="6">
        <f>B38/(1+B16)^6</f>
        <v>321.35131253989681</v>
      </c>
      <c r="C49" s="6">
        <f>C38/(1+C16)^6</f>
        <v>632.06041358679715</v>
      </c>
      <c r="D49" s="6">
        <f>D38/(1+D16)^6</f>
        <v>709.95076566244938</v>
      </c>
      <c r="E49" s="6">
        <f>E38/(1+E16)^6</f>
        <v>372.37817464109332</v>
      </c>
    </row>
    <row r="50" spans="1:5" x14ac:dyDescent="0.25">
      <c r="A50" t="s">
        <v>154</v>
      </c>
      <c r="B50" s="6">
        <f>B39/(1+B16)^7</f>
        <v>314.67443108490994</v>
      </c>
      <c r="C50" s="6">
        <f>C39/(1+C16)^7</f>
        <v>665.55624332089974</v>
      </c>
      <c r="D50" s="6">
        <f>D39/(1+D16)^7</f>
        <v>695.19975355753763</v>
      </c>
      <c r="E50" s="6">
        <f>E39/(1+E16)^7</f>
        <v>373.7084803005344</v>
      </c>
    </row>
    <row r="51" spans="1:5" x14ac:dyDescent="0.25">
      <c r="A51" t="s">
        <v>155</v>
      </c>
      <c r="B51" s="6">
        <f>B40/(1+B16)^8</f>
        <v>305.36383489403801</v>
      </c>
      <c r="C51" s="6">
        <f>C40/(1+C16)^8</f>
        <v>678.59676875537946</v>
      </c>
      <c r="D51" s="6">
        <f>D40/(1+D16)^8</f>
        <v>674.63016309207842</v>
      </c>
      <c r="E51" s="6">
        <f>E40/(1+E16)^8</f>
        <v>371.66909931642647</v>
      </c>
    </row>
    <row r="52" spans="1:5" x14ac:dyDescent="0.25">
      <c r="A52" t="s">
        <v>156</v>
      </c>
      <c r="B52" s="6">
        <f>B41/(1+B16)^9</f>
        <v>293.6383083038051</v>
      </c>
      <c r="C52" s="6">
        <f>C41/(1+C16)^9</f>
        <v>669.22682842709946</v>
      </c>
      <c r="D52" s="6">
        <f>D41/(1+D16)^9</f>
        <v>648.72534722331568</v>
      </c>
      <c r="E52" s="6">
        <f>E41/(1+E16)^9</f>
        <v>366.28482322242735</v>
      </c>
    </row>
    <row r="53" spans="1:5" x14ac:dyDescent="0.25">
      <c r="A53" t="s">
        <v>157</v>
      </c>
      <c r="B53" s="6">
        <f>B42/(1+B16)^10</f>
        <v>279.77592019621721</v>
      </c>
      <c r="C53" s="6">
        <f>C42/(1+C16)^10</f>
        <v>637.6332598588308</v>
      </c>
      <c r="D53" s="6">
        <f>D42/(1+D16)^10</f>
        <v>618.0996342828397</v>
      </c>
      <c r="E53" s="6">
        <f>E42/(1+E16)^10</f>
        <v>357.6711413407495</v>
      </c>
    </row>
    <row r="54" spans="1:5" x14ac:dyDescent="0.25">
      <c r="A54" t="s">
        <v>159</v>
      </c>
      <c r="B54" s="6">
        <f>SUM(B44:B53)</f>
        <v>2937.7380264101384</v>
      </c>
      <c r="C54" s="6">
        <f>SUM(C44:C53)</f>
        <v>5361.4133761831245</v>
      </c>
      <c r="D54" s="6">
        <f>SUM(D44:D53)</f>
        <v>5755.9236742404173</v>
      </c>
      <c r="E54" s="6">
        <f>SUM(E44:E53)</f>
        <v>3379.7764187469211</v>
      </c>
    </row>
    <row r="55" spans="1:5" x14ac:dyDescent="0.25">
      <c r="A55" t="s">
        <v>160</v>
      </c>
      <c r="B55" s="6">
        <f>B42*(1+B15)/MAX(B16-B15,0.01)</f>
        <v>11723.170228015875</v>
      </c>
      <c r="C55" s="6">
        <f>C42*(1+C15)/MAX(C16-C15,0.01)</f>
        <v>26718.10798844734</v>
      </c>
      <c r="D55" s="6">
        <f>D42*(1+D15)/MAX(D16-D15,0.01)</f>
        <v>25899.610036096521</v>
      </c>
      <c r="E55" s="6">
        <f>E42*(1+E15)/MAX(E16-E15,0.01)</f>
        <v>24119.475765615767</v>
      </c>
    </row>
    <row r="56" spans="1:5" x14ac:dyDescent="0.25">
      <c r="A56" t="s">
        <v>161</v>
      </c>
      <c r="B56" s="6">
        <f>B55/(1+B16)^10</f>
        <v>5646.5426385511955</v>
      </c>
      <c r="C56" s="6">
        <f>C55/(1+C16)^10</f>
        <v>12868.953793543678</v>
      </c>
      <c r="D56" s="6">
        <f>D55/(1+D16)^10</f>
        <v>12474.71882999509</v>
      </c>
      <c r="E56" s="6">
        <f>E55/(1+E16)^10</f>
        <v>14851.795910888059</v>
      </c>
    </row>
    <row r="57" spans="1:5" x14ac:dyDescent="0.25">
      <c r="A57" t="s">
        <v>303</v>
      </c>
      <c r="B57" s="6">
        <f>B54+B56</f>
        <v>8584.280664961334</v>
      </c>
      <c r="C57" s="6">
        <f>C54+C56</f>
        <v>18230.367169726804</v>
      </c>
      <c r="D57" s="6">
        <f>D54+D56</f>
        <v>18230.642504235508</v>
      </c>
      <c r="E57" s="6">
        <f>E54+E56</f>
        <v>18231.572329634979</v>
      </c>
    </row>
    <row r="58" spans="1:5" x14ac:dyDescent="0.25">
      <c r="A58" t="s">
        <v>304</v>
      </c>
      <c r="B58" s="6">
        <f>B57+B18+B19</f>
        <v>6601.280664961334</v>
      </c>
      <c r="C58" s="6">
        <f>C57+C18+C19</f>
        <v>16247.367169726804</v>
      </c>
      <c r="D58" s="6">
        <f>D57+D18+D19</f>
        <v>16247.642504235508</v>
      </c>
      <c r="E58" s="6">
        <f>E57+E18+E19</f>
        <v>16248.572329634979</v>
      </c>
    </row>
    <row r="59" spans="1:5" x14ac:dyDescent="0.25">
      <c r="A59" s="4" t="s">
        <v>305</v>
      </c>
      <c r="B59" s="33">
        <f>B58/B20</f>
        <v>95.670734274801944</v>
      </c>
      <c r="C59" s="33">
        <f>C58/C20</f>
        <v>235.46908941633049</v>
      </c>
      <c r="D59" s="33">
        <f>D58/D20</f>
        <v>235.47307977152909</v>
      </c>
      <c r="E59" s="33">
        <f>E58/E20</f>
        <v>235.48655550195622</v>
      </c>
    </row>
    <row r="60" spans="1:5" x14ac:dyDescent="0.25">
      <c r="A60" t="s">
        <v>306</v>
      </c>
      <c r="B60" s="6">
        <f>B59-B5</f>
        <v>7.3427480194254713E-4</v>
      </c>
      <c r="C60" s="6">
        <f>C59-B4</f>
        <v>-9.1058366950846903E-4</v>
      </c>
      <c r="D60" s="6">
        <f>D59-B4</f>
        <v>3.0797715290873384E-3</v>
      </c>
      <c r="E60" s="6">
        <f>E59-B4</f>
        <v>1.6555501956219132E-2</v>
      </c>
    </row>
    <row r="62" spans="1:5" x14ac:dyDescent="0.25">
      <c r="A62" s="3" t="s">
        <v>307</v>
      </c>
    </row>
    <row r="63" spans="1:5" x14ac:dyDescent="0.25">
      <c r="A63" t="s">
        <v>308</v>
      </c>
      <c r="B63" s="47">
        <v>5.8869999999999996</v>
      </c>
    </row>
    <row r="64" spans="1:5" x14ac:dyDescent="0.25">
      <c r="A64" t="s">
        <v>309</v>
      </c>
      <c r="B64" s="48">
        <v>22.469000000000001</v>
      </c>
    </row>
    <row r="65" spans="1:3" x14ac:dyDescent="0.25">
      <c r="A65" t="s">
        <v>310</v>
      </c>
      <c r="B65" s="49">
        <v>80.883390000000006</v>
      </c>
    </row>
    <row r="66" spans="1:3" x14ac:dyDescent="0.25">
      <c r="A66" t="s">
        <v>311</v>
      </c>
      <c r="B66" s="49">
        <v>36.245308000000001</v>
      </c>
    </row>
    <row r="67" spans="1:3" x14ac:dyDescent="0.25">
      <c r="A67" t="s">
        <v>312</v>
      </c>
      <c r="B67" s="49">
        <v>5.8394339999999998</v>
      </c>
    </row>
    <row r="69" spans="1:3" x14ac:dyDescent="0.25">
      <c r="A69" s="4" t="s">
        <v>313</v>
      </c>
      <c r="B69" s="2" t="s">
        <v>314</v>
      </c>
      <c r="C69" s="2" t="s">
        <v>315</v>
      </c>
    </row>
    <row r="70" spans="1:3" x14ac:dyDescent="0.25">
      <c r="B70" s="50">
        <v>2025</v>
      </c>
      <c r="C70" s="51">
        <v>5.49</v>
      </c>
    </row>
    <row r="71" spans="1:3" x14ac:dyDescent="0.25">
      <c r="B71" s="50">
        <v>2024</v>
      </c>
      <c r="C71" s="51">
        <v>4.6500000000000004</v>
      </c>
    </row>
    <row r="72" spans="1:3" x14ac:dyDescent="0.25">
      <c r="B72" s="50">
        <v>2023</v>
      </c>
      <c r="C72" s="51">
        <v>6.72</v>
      </c>
    </row>
    <row r="73" spans="1:3" x14ac:dyDescent="0.25">
      <c r="B73" s="50">
        <v>2022</v>
      </c>
      <c r="C73" s="51">
        <v>6.31</v>
      </c>
    </row>
    <row r="77" spans="1:3" x14ac:dyDescent="0.25">
      <c r="A77" s="3" t="s">
        <v>316</v>
      </c>
    </row>
    <row r="79" spans="1:3" x14ac:dyDescent="0.25">
      <c r="A79" t="s">
        <v>317</v>
      </c>
      <c r="B79" s="52">
        <v>21528</v>
      </c>
    </row>
    <row r="80" spans="1:3" x14ac:dyDescent="0.25">
      <c r="A80" t="s">
        <v>318</v>
      </c>
      <c r="B80" s="52">
        <v>11882</v>
      </c>
    </row>
    <row r="81" spans="1:2" x14ac:dyDescent="0.25">
      <c r="A81" t="s">
        <v>319</v>
      </c>
      <c r="B81" s="52">
        <v>958</v>
      </c>
    </row>
    <row r="82" spans="1:2" x14ac:dyDescent="0.25">
      <c r="A82" t="s">
        <v>320</v>
      </c>
      <c r="B82" s="52">
        <v>1033</v>
      </c>
    </row>
    <row r="83" spans="1:2" x14ac:dyDescent="0.25">
      <c r="A83" s="4" t="s">
        <v>321</v>
      </c>
      <c r="B83" s="34">
        <f>IF(B81&gt;0,B79/B81,"")</f>
        <v>22.471816283924845</v>
      </c>
    </row>
    <row r="84" spans="1:2" x14ac:dyDescent="0.25">
      <c r="A84" s="4" t="s">
        <v>322</v>
      </c>
      <c r="B84" s="34">
        <f>IF(B81&gt;0,B80/B81,"")</f>
        <v>12.402922755741127</v>
      </c>
    </row>
    <row r="85" spans="1:2" x14ac:dyDescent="0.25">
      <c r="A85" s="4" t="s">
        <v>323</v>
      </c>
      <c r="B85" s="34">
        <f>IF(B82&gt;0,B79/B82,"")</f>
        <v>20.840271055179091</v>
      </c>
    </row>
    <row r="86" spans="1:2" x14ac:dyDescent="0.25">
      <c r="A86" s="4" t="s">
        <v>324</v>
      </c>
      <c r="B86" s="34">
        <f>IF(B82&gt;0,B80/B82,"")</f>
        <v>11.50242013552759</v>
      </c>
    </row>
    <row r="88" spans="1:2" x14ac:dyDescent="0.25">
      <c r="A88" s="4" t="s">
        <v>325</v>
      </c>
    </row>
    <row r="89" spans="1:2" x14ac:dyDescent="0.25">
      <c r="A89" t="s">
        <v>326</v>
      </c>
      <c r="B89" s="48">
        <v>18.559999999999999</v>
      </c>
    </row>
    <row r="90" spans="1:2" x14ac:dyDescent="0.25">
      <c r="A90" t="s">
        <v>327</v>
      </c>
      <c r="B90" s="48">
        <v>19.59</v>
      </c>
    </row>
    <row r="91" spans="1:2" x14ac:dyDescent="0.25">
      <c r="A91" t="s">
        <v>328</v>
      </c>
      <c r="B91" s="48">
        <v>27.05</v>
      </c>
    </row>
    <row r="93" spans="1:2" x14ac:dyDescent="0.25">
      <c r="A93" s="4" t="s">
        <v>329</v>
      </c>
      <c r="B93" s="53" t="s">
        <v>330</v>
      </c>
    </row>
    <row r="94" spans="1:2" x14ac:dyDescent="0.25">
      <c r="A94" t="s">
        <v>331</v>
      </c>
      <c r="B94" s="43" t="s">
        <v>332</v>
      </c>
    </row>
    <row r="96" spans="1:2" x14ac:dyDescent="0.25">
      <c r="A96" s="3" t="s">
        <v>333</v>
      </c>
    </row>
    <row r="97" spans="1:5" x14ac:dyDescent="0.25">
      <c r="A97" s="4" t="s">
        <v>334</v>
      </c>
      <c r="B97" s="54">
        <v>0.84099999999999997</v>
      </c>
    </row>
    <row r="98" spans="1:5" x14ac:dyDescent="0.25">
      <c r="A98" t="s">
        <v>335</v>
      </c>
      <c r="B98" s="48">
        <v>12.25</v>
      </c>
      <c r="C98" s="48">
        <v>20.05</v>
      </c>
      <c r="D98" s="48">
        <v>65.37</v>
      </c>
    </row>
    <row r="99" spans="1:5" x14ac:dyDescent="0.25">
      <c r="A99" s="4" t="s">
        <v>336</v>
      </c>
      <c r="B99" s="4" t="s">
        <v>337</v>
      </c>
      <c r="C99" s="4" t="s">
        <v>338</v>
      </c>
      <c r="D99" s="4" t="s">
        <v>339</v>
      </c>
      <c r="E99" s="4" t="s">
        <v>340</v>
      </c>
    </row>
    <row r="100" spans="1:5" x14ac:dyDescent="0.25">
      <c r="A100" s="50" t="s">
        <v>341</v>
      </c>
      <c r="B100" s="55">
        <v>0.67700000000000005</v>
      </c>
      <c r="C100" s="55">
        <v>0.77800000000000002</v>
      </c>
      <c r="D100" s="55">
        <v>0.19800000000000001</v>
      </c>
      <c r="E100" s="56">
        <v>20.673999999999999</v>
      </c>
    </row>
    <row r="101" spans="1:5" x14ac:dyDescent="0.25">
      <c r="A101" s="50" t="s">
        <v>342</v>
      </c>
      <c r="B101" s="55">
        <v>0.72899999999999998</v>
      </c>
      <c r="C101" s="55">
        <v>0.83599999999999997</v>
      </c>
      <c r="D101" s="55">
        <v>0.19600000000000001</v>
      </c>
      <c r="E101" s="56">
        <v>21.731000000000002</v>
      </c>
    </row>
    <row r="102" spans="1:5" x14ac:dyDescent="0.25">
      <c r="A102" s="50" t="s">
        <v>343</v>
      </c>
      <c r="B102" s="55">
        <v>0.79600000000000004</v>
      </c>
      <c r="C102" s="55">
        <v>0.92</v>
      </c>
      <c r="D102" s="55">
        <v>0.20699999999999999</v>
      </c>
      <c r="E102" s="56">
        <v>12.25</v>
      </c>
    </row>
    <row r="103" spans="1:5" x14ac:dyDescent="0.25">
      <c r="A103" s="50" t="s">
        <v>344</v>
      </c>
      <c r="B103" s="55">
        <v>0.95</v>
      </c>
      <c r="C103" s="55">
        <v>1.0249999999999999</v>
      </c>
      <c r="D103" s="55">
        <v>0.105</v>
      </c>
      <c r="E103" s="56">
        <v>18.088999999999999</v>
      </c>
    </row>
    <row r="104" spans="1:5" x14ac:dyDescent="0.25">
      <c r="A104" s="50" t="s">
        <v>345</v>
      </c>
      <c r="B104" s="55">
        <v>0.93799999999999994</v>
      </c>
      <c r="C104" s="55">
        <v>0.99</v>
      </c>
      <c r="D104" s="55">
        <v>7.3999999999999996E-2</v>
      </c>
      <c r="E104" s="56">
        <v>65.373000000000005</v>
      </c>
    </row>
    <row r="105" spans="1:5" x14ac:dyDescent="0.25">
      <c r="A105" s="50" t="s">
        <v>346</v>
      </c>
      <c r="B105" s="55">
        <v>1.028</v>
      </c>
      <c r="C105" s="55">
        <v>1.1919999999999999</v>
      </c>
      <c r="D105" s="55">
        <v>0.21299999999999999</v>
      </c>
      <c r="E105" s="56">
        <v>19.425999999999998</v>
      </c>
    </row>
    <row r="106" spans="1:5" x14ac:dyDescent="0.25">
      <c r="A106" s="50" t="s">
        <v>6</v>
      </c>
      <c r="B106" s="55">
        <v>0.84099999999999997</v>
      </c>
      <c r="C106" s="55">
        <v>1.004</v>
      </c>
      <c r="D106" s="55">
        <v>0.25800000000000001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140625" defaultRowHeight="15" x14ac:dyDescent="0.25"/>
  <cols>
    <col min="1" max="1" width="36" customWidth="1"/>
    <col min="2" max="2" width="18" customWidth="1"/>
  </cols>
  <sheetData>
    <row r="1" spans="1:2" ht="15.75" customHeight="1" x14ac:dyDescent="0.25">
      <c r="A1" s="35" t="s">
        <v>347</v>
      </c>
    </row>
    <row r="2" spans="1:2" x14ac:dyDescent="0.25">
      <c r="A2" s="2" t="s">
        <v>348</v>
      </c>
    </row>
    <row r="4" spans="1:2" x14ac:dyDescent="0.25">
      <c r="A4" s="4" t="s">
        <v>349</v>
      </c>
      <c r="B4" s="31" t="s">
        <v>350</v>
      </c>
    </row>
    <row r="5" spans="1:2" x14ac:dyDescent="0.25">
      <c r="A5" s="4" t="s">
        <v>351</v>
      </c>
      <c r="B5" s="31" t="s">
        <v>352</v>
      </c>
    </row>
    <row r="6" spans="1:2" x14ac:dyDescent="0.25">
      <c r="A6" s="4" t="s">
        <v>353</v>
      </c>
      <c r="B6" s="31" t="s">
        <v>354</v>
      </c>
    </row>
    <row r="7" spans="1:2" x14ac:dyDescent="0.25">
      <c r="A7" s="4" t="s">
        <v>355</v>
      </c>
      <c r="B7" s="31" t="s">
        <v>356</v>
      </c>
    </row>
    <row r="8" spans="1:2" x14ac:dyDescent="0.25">
      <c r="A8" s="4" t="s">
        <v>357</v>
      </c>
      <c r="B8" s="31" t="s">
        <v>358</v>
      </c>
    </row>
    <row r="9" spans="1:2" x14ac:dyDescent="0.25">
      <c r="A9" s="4" t="s">
        <v>359</v>
      </c>
      <c r="B9" s="31" t="s">
        <v>360</v>
      </c>
    </row>
    <row r="10" spans="1:2" x14ac:dyDescent="0.25">
      <c r="A10" s="4" t="s">
        <v>361</v>
      </c>
      <c r="B10" s="31" t="s">
        <v>253</v>
      </c>
    </row>
    <row r="11" spans="1:2" x14ac:dyDescent="0.25">
      <c r="A11" s="4" t="s">
        <v>362</v>
      </c>
      <c r="B11" s="31" t="s">
        <v>363</v>
      </c>
    </row>
    <row r="12" spans="1:2" x14ac:dyDescent="0.25">
      <c r="A12" s="4" t="s">
        <v>364</v>
      </c>
      <c r="B12" s="31" t="s">
        <v>365</v>
      </c>
    </row>
    <row r="13" spans="1:2" x14ac:dyDescent="0.25">
      <c r="A13" s="4" t="s">
        <v>366</v>
      </c>
      <c r="B13" s="31" t="s">
        <v>367</v>
      </c>
    </row>
    <row r="14" spans="1:2" x14ac:dyDescent="0.25">
      <c r="A14" s="4" t="s">
        <v>368</v>
      </c>
      <c r="B14" s="31" t="s">
        <v>251</v>
      </c>
    </row>
    <row r="15" spans="1:2" x14ac:dyDescent="0.25">
      <c r="A15" s="4" t="s">
        <v>369</v>
      </c>
      <c r="B15" s="31" t="s">
        <v>253</v>
      </c>
    </row>
    <row r="16" spans="1:2" x14ac:dyDescent="0.25">
      <c r="A16" s="4" t="s">
        <v>370</v>
      </c>
      <c r="B16" s="31" t="s">
        <v>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2026-08-18T12:19:17Z</dcterms:created>
  <dcterms:modified xsi:type="dcterms:W3CDTF">2026-08-18T16:44:10Z</dcterms:modified>
</cp:coreProperties>
</file>