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ServiceNow\2026-07-24_run1\"/>
    </mc:Choice>
  </mc:AlternateContent>
  <xr:revisionPtr revIDLastSave="0" documentId="13_ncr:1_{4C06AADE-730E-4CA3-8DCB-412412B3E1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35" i="7"/>
  <c r="B46" i="7" s="1"/>
  <c r="B26" i="7"/>
  <c r="B37" i="7" s="1"/>
  <c r="B48" i="7" s="1"/>
  <c r="C25" i="7"/>
  <c r="B25" i="7"/>
  <c r="B36" i="7" s="1"/>
  <c r="B47" i="7" s="1"/>
  <c r="E24" i="7"/>
  <c r="D24" i="7"/>
  <c r="D35" i="7" s="1"/>
  <c r="D46" i="7" s="1"/>
  <c r="C24" i="7"/>
  <c r="B24" i="7"/>
  <c r="B23" i="7"/>
  <c r="B34" i="7" s="1"/>
  <c r="B45" i="7" s="1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C35" i="7" s="1"/>
  <c r="C46" i="7" s="1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E10" i="7"/>
  <c r="E26" i="7" s="1"/>
  <c r="D10" i="7"/>
  <c r="D26" i="7" s="1"/>
  <c r="C10" i="7"/>
  <c r="C26" i="7" s="1"/>
  <c r="B6" i="7"/>
  <c r="D9" i="5"/>
  <c r="D8" i="5"/>
  <c r="D7" i="5"/>
  <c r="D6" i="5"/>
  <c r="D5" i="5"/>
  <c r="K120" i="4"/>
  <c r="J106" i="4"/>
  <c r="I106" i="4"/>
  <c r="H106" i="4"/>
  <c r="G106" i="4"/>
  <c r="F106" i="4"/>
  <c r="E106" i="4"/>
  <c r="D106" i="4"/>
  <c r="J104" i="4"/>
  <c r="I104" i="4"/>
  <c r="G104" i="4"/>
  <c r="F104" i="4"/>
  <c r="E104" i="4"/>
  <c r="D104" i="4"/>
  <c r="C104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H63" i="4"/>
  <c r="H64" i="4" s="1"/>
  <c r="H49" i="4"/>
  <c r="C49" i="4"/>
  <c r="I48" i="4"/>
  <c r="G48" i="4"/>
  <c r="F48" i="4"/>
  <c r="I36" i="4"/>
  <c r="I42" i="4" s="1"/>
  <c r="H36" i="4"/>
  <c r="H42" i="4" s="1"/>
  <c r="G36" i="4"/>
  <c r="G42" i="4" s="1"/>
  <c r="G54" i="4" s="1"/>
  <c r="E36" i="4"/>
  <c r="E42" i="4" s="1"/>
  <c r="C34" i="4"/>
  <c r="C40" i="4" s="1"/>
  <c r="C52" i="4" s="1"/>
  <c r="I33" i="4"/>
  <c r="I39" i="4" s="1"/>
  <c r="J31" i="4"/>
  <c r="I31" i="4"/>
  <c r="H31" i="4"/>
  <c r="G31" i="4"/>
  <c r="F31" i="4"/>
  <c r="E31" i="4"/>
  <c r="D31" i="4"/>
  <c r="C31" i="4"/>
  <c r="J30" i="4"/>
  <c r="I30" i="4"/>
  <c r="H30" i="4"/>
  <c r="G30" i="4"/>
  <c r="F30" i="4"/>
  <c r="E30" i="4"/>
  <c r="D30" i="4"/>
  <c r="D36" i="4" s="1"/>
  <c r="D42" i="4" s="1"/>
  <c r="C30" i="4"/>
  <c r="C36" i="4" s="1"/>
  <c r="C42" i="4" s="1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G33" i="4" s="1"/>
  <c r="G39" i="4" s="1"/>
  <c r="F27" i="4"/>
  <c r="E27" i="4"/>
  <c r="D27" i="4"/>
  <c r="C27" i="4"/>
  <c r="J25" i="4"/>
  <c r="I25" i="4"/>
  <c r="H25" i="4"/>
  <c r="G25" i="4"/>
  <c r="F25" i="4"/>
  <c r="F37" i="4" s="1"/>
  <c r="F43" i="4" s="1"/>
  <c r="E25" i="4"/>
  <c r="E49" i="4" s="1"/>
  <c r="D25" i="4"/>
  <c r="C25" i="4"/>
  <c r="J24" i="4"/>
  <c r="I24" i="4"/>
  <c r="H24" i="4"/>
  <c r="H48" i="4" s="1"/>
  <c r="G24" i="4"/>
  <c r="F24" i="4"/>
  <c r="E24" i="4"/>
  <c r="E48" i="4" s="1"/>
  <c r="D24" i="4"/>
  <c r="D48" i="4" s="1"/>
  <c r="C24" i="4"/>
  <c r="C48" i="4" s="1"/>
  <c r="J23" i="4"/>
  <c r="I23" i="4"/>
  <c r="I47" i="4" s="1"/>
  <c r="H23" i="4"/>
  <c r="H47" i="4" s="1"/>
  <c r="G23" i="4"/>
  <c r="G47" i="4" s="1"/>
  <c r="F23" i="4"/>
  <c r="F47" i="4" s="1"/>
  <c r="E23" i="4"/>
  <c r="E47" i="4" s="1"/>
  <c r="D23" i="4"/>
  <c r="C23" i="4"/>
  <c r="J22" i="4"/>
  <c r="J46" i="4" s="1"/>
  <c r="I22" i="4"/>
  <c r="H22" i="4"/>
  <c r="G22" i="4"/>
  <c r="F22" i="4"/>
  <c r="E22" i="4"/>
  <c r="D22" i="4"/>
  <c r="C22" i="4"/>
  <c r="C46" i="4" s="1"/>
  <c r="J21" i="4"/>
  <c r="I21" i="4"/>
  <c r="I45" i="4" s="1"/>
  <c r="H21" i="4"/>
  <c r="G21" i="4"/>
  <c r="G45" i="4" s="1"/>
  <c r="F21" i="4"/>
  <c r="F45" i="4" s="1"/>
  <c r="E21" i="4"/>
  <c r="E33" i="4" s="1"/>
  <c r="E39" i="4" s="1"/>
  <c r="D21" i="4"/>
  <c r="D45" i="4" s="1"/>
  <c r="C21" i="4"/>
  <c r="C33" i="4" s="1"/>
  <c r="C39" i="4" s="1"/>
  <c r="J16" i="4"/>
  <c r="I16" i="4"/>
  <c r="E16" i="4"/>
  <c r="E107" i="4" s="1"/>
  <c r="C16" i="4"/>
  <c r="K120" i="3"/>
  <c r="J106" i="3"/>
  <c r="I106" i="3"/>
  <c r="H106" i="3"/>
  <c r="G106" i="3"/>
  <c r="F106" i="3"/>
  <c r="E106" i="3"/>
  <c r="D106" i="3"/>
  <c r="G104" i="3"/>
  <c r="F104" i="3"/>
  <c r="D104" i="3"/>
  <c r="C104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E49" i="3"/>
  <c r="C48" i="3"/>
  <c r="I47" i="3"/>
  <c r="H47" i="3"/>
  <c r="G47" i="3"/>
  <c r="F47" i="3"/>
  <c r="E47" i="3"/>
  <c r="D47" i="3"/>
  <c r="C47" i="3"/>
  <c r="G46" i="3"/>
  <c r="F46" i="3"/>
  <c r="F52" i="3" s="1"/>
  <c r="F58" i="3" s="1"/>
  <c r="E45" i="3"/>
  <c r="G36" i="3"/>
  <c r="G42" i="3" s="1"/>
  <c r="G54" i="3" s="1"/>
  <c r="C33" i="3"/>
  <c r="C39" i="3" s="1"/>
  <c r="J31" i="3"/>
  <c r="I31" i="3"/>
  <c r="H31" i="3"/>
  <c r="G31" i="3"/>
  <c r="F31" i="3"/>
  <c r="E31" i="3"/>
  <c r="D31" i="3"/>
  <c r="C31" i="3"/>
  <c r="J30" i="3"/>
  <c r="I30" i="3"/>
  <c r="H30" i="3"/>
  <c r="G30" i="3"/>
  <c r="F30" i="3"/>
  <c r="E30" i="3"/>
  <c r="D30" i="3"/>
  <c r="C30" i="3"/>
  <c r="J29" i="3"/>
  <c r="J35" i="3" s="1"/>
  <c r="J41" i="3" s="1"/>
  <c r="J53" i="3" s="1"/>
  <c r="I29" i="3"/>
  <c r="I35" i="3" s="1"/>
  <c r="I41" i="3" s="1"/>
  <c r="I53" i="3" s="1"/>
  <c r="H29" i="3"/>
  <c r="H35" i="3" s="1"/>
  <c r="H41" i="3" s="1"/>
  <c r="G29" i="3"/>
  <c r="F29" i="3"/>
  <c r="E29" i="3"/>
  <c r="E35" i="3" s="1"/>
  <c r="E41" i="3" s="1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J49" i="3" s="1"/>
  <c r="I25" i="3"/>
  <c r="I63" i="3" s="1"/>
  <c r="H25" i="3"/>
  <c r="G25" i="3"/>
  <c r="G63" i="3" s="1"/>
  <c r="G87" i="3" s="1"/>
  <c r="F25" i="3"/>
  <c r="F63" i="3" s="1"/>
  <c r="F87" i="3" s="1"/>
  <c r="E25" i="3"/>
  <c r="E63" i="3" s="1"/>
  <c r="D25" i="3"/>
  <c r="D63" i="3" s="1"/>
  <c r="D64" i="3" s="1"/>
  <c r="D65" i="3" s="1"/>
  <c r="C25" i="3"/>
  <c r="J24" i="3"/>
  <c r="J48" i="3" s="1"/>
  <c r="I24" i="3"/>
  <c r="I48" i="3" s="1"/>
  <c r="H24" i="3"/>
  <c r="G24" i="3"/>
  <c r="G48" i="3" s="1"/>
  <c r="F24" i="3"/>
  <c r="E24" i="3"/>
  <c r="D24" i="3"/>
  <c r="D48" i="3" s="1"/>
  <c r="C24" i="3"/>
  <c r="J23" i="3"/>
  <c r="J47" i="3" s="1"/>
  <c r="I23" i="3"/>
  <c r="H23" i="3"/>
  <c r="G23" i="3"/>
  <c r="F23" i="3"/>
  <c r="F35" i="3" s="1"/>
  <c r="F41" i="3" s="1"/>
  <c r="E23" i="3"/>
  <c r="D23" i="3"/>
  <c r="D35" i="3" s="1"/>
  <c r="D41" i="3" s="1"/>
  <c r="C23" i="3"/>
  <c r="C35" i="3" s="1"/>
  <c r="C41" i="3" s="1"/>
  <c r="C53" i="3" s="1"/>
  <c r="C59" i="3" s="1"/>
  <c r="J22" i="3"/>
  <c r="J46" i="3" s="1"/>
  <c r="I22" i="3"/>
  <c r="I46" i="3" s="1"/>
  <c r="H22" i="3"/>
  <c r="H46" i="3" s="1"/>
  <c r="G22" i="3"/>
  <c r="F22" i="3"/>
  <c r="F34" i="3" s="1"/>
  <c r="F40" i="3" s="1"/>
  <c r="E22" i="3"/>
  <c r="D22" i="3"/>
  <c r="D34" i="3" s="1"/>
  <c r="D40" i="3" s="1"/>
  <c r="C22" i="3"/>
  <c r="J21" i="3"/>
  <c r="I21" i="3"/>
  <c r="H21" i="3"/>
  <c r="G21" i="3"/>
  <c r="F21" i="3"/>
  <c r="E21" i="3"/>
  <c r="D21" i="3"/>
  <c r="C21" i="3"/>
  <c r="C45" i="3" s="1"/>
  <c r="F16" i="3"/>
  <c r="F107" i="3" s="1"/>
  <c r="D16" i="3"/>
  <c r="C16" i="3"/>
  <c r="K120" i="2"/>
  <c r="J106" i="2"/>
  <c r="I106" i="2"/>
  <c r="H106" i="2"/>
  <c r="G106" i="2"/>
  <c r="F106" i="2"/>
  <c r="E106" i="2"/>
  <c r="D106" i="2"/>
  <c r="J104" i="2"/>
  <c r="I104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G47" i="2"/>
  <c r="F47" i="2"/>
  <c r="E47" i="2"/>
  <c r="D47" i="2"/>
  <c r="C47" i="2"/>
  <c r="J46" i="2"/>
  <c r="H46" i="2"/>
  <c r="F46" i="2"/>
  <c r="J31" i="2"/>
  <c r="J37" i="2" s="1"/>
  <c r="J43" i="2" s="1"/>
  <c r="I31" i="2"/>
  <c r="H31" i="2"/>
  <c r="H37" i="2" s="1"/>
  <c r="H43" i="2" s="1"/>
  <c r="G31" i="2"/>
  <c r="F31" i="2"/>
  <c r="F37" i="2" s="1"/>
  <c r="F43" i="2" s="1"/>
  <c r="E31" i="2"/>
  <c r="D31" i="2"/>
  <c r="C31" i="2"/>
  <c r="J30" i="2"/>
  <c r="I30" i="2"/>
  <c r="H30" i="2"/>
  <c r="G30" i="2"/>
  <c r="F30" i="2"/>
  <c r="E30" i="2"/>
  <c r="D30" i="2"/>
  <c r="C30" i="2"/>
  <c r="J29" i="2"/>
  <c r="I29" i="2"/>
  <c r="I35" i="2" s="1"/>
  <c r="I41" i="2" s="1"/>
  <c r="I53" i="2" s="1"/>
  <c r="H29" i="2"/>
  <c r="G29" i="2"/>
  <c r="F29" i="2"/>
  <c r="E29" i="2"/>
  <c r="D29" i="2"/>
  <c r="C29" i="2"/>
  <c r="J28" i="2"/>
  <c r="I28" i="2"/>
  <c r="I34" i="2" s="1"/>
  <c r="I40" i="2" s="1"/>
  <c r="I52" i="2" s="1"/>
  <c r="H28" i="2"/>
  <c r="H34" i="2" s="1"/>
  <c r="H40" i="2" s="1"/>
  <c r="H52" i="2" s="1"/>
  <c r="G28" i="2"/>
  <c r="G34" i="2" s="1"/>
  <c r="G40" i="2" s="1"/>
  <c r="G52" i="2" s="1"/>
  <c r="F28" i="2"/>
  <c r="E28" i="2"/>
  <c r="D28" i="2"/>
  <c r="C28" i="2"/>
  <c r="J27" i="2"/>
  <c r="I27" i="2"/>
  <c r="H27" i="2"/>
  <c r="G27" i="2"/>
  <c r="F27" i="2"/>
  <c r="E27" i="2"/>
  <c r="D27" i="2"/>
  <c r="C27" i="2"/>
  <c r="J25" i="2"/>
  <c r="J63" i="2" s="1"/>
  <c r="I25" i="2"/>
  <c r="I49" i="2" s="1"/>
  <c r="H25" i="2"/>
  <c r="H63" i="2" s="1"/>
  <c r="H64" i="2" s="1"/>
  <c r="G25" i="2"/>
  <c r="G49" i="2" s="1"/>
  <c r="F25" i="2"/>
  <c r="F63" i="2" s="1"/>
  <c r="E25" i="2"/>
  <c r="D25" i="2"/>
  <c r="D63" i="2" s="1"/>
  <c r="C25" i="2"/>
  <c r="C63" i="2" s="1"/>
  <c r="J24" i="2"/>
  <c r="I24" i="2"/>
  <c r="H24" i="2"/>
  <c r="G24" i="2"/>
  <c r="G48" i="2" s="1"/>
  <c r="F24" i="2"/>
  <c r="F48" i="2" s="1"/>
  <c r="E24" i="2"/>
  <c r="D24" i="2"/>
  <c r="C24" i="2"/>
  <c r="C48" i="2" s="1"/>
  <c r="J23" i="2"/>
  <c r="I23" i="2"/>
  <c r="I47" i="2" s="1"/>
  <c r="H23" i="2"/>
  <c r="G23" i="2"/>
  <c r="F23" i="2"/>
  <c r="F35" i="2" s="1"/>
  <c r="F41" i="2" s="1"/>
  <c r="F53" i="2" s="1"/>
  <c r="E23" i="2"/>
  <c r="E35" i="2" s="1"/>
  <c r="E41" i="2" s="1"/>
  <c r="E53" i="2" s="1"/>
  <c r="D23" i="2"/>
  <c r="D35" i="2" s="1"/>
  <c r="D41" i="2" s="1"/>
  <c r="D53" i="2" s="1"/>
  <c r="C23" i="2"/>
  <c r="C35" i="2" s="1"/>
  <c r="C41" i="2" s="1"/>
  <c r="C53" i="2" s="1"/>
  <c r="J22" i="2"/>
  <c r="J34" i="2" s="1"/>
  <c r="J40" i="2" s="1"/>
  <c r="I22" i="2"/>
  <c r="I46" i="2" s="1"/>
  <c r="H22" i="2"/>
  <c r="G22" i="2"/>
  <c r="G46" i="2" s="1"/>
  <c r="F22" i="2"/>
  <c r="F34" i="2" s="1"/>
  <c r="F40" i="2" s="1"/>
  <c r="E22" i="2"/>
  <c r="D22" i="2"/>
  <c r="D46" i="2" s="1"/>
  <c r="C22" i="2"/>
  <c r="C46" i="2" s="1"/>
  <c r="J21" i="2"/>
  <c r="I21" i="2"/>
  <c r="H21" i="2"/>
  <c r="H45" i="2" s="1"/>
  <c r="G21" i="2"/>
  <c r="G33" i="2" s="1"/>
  <c r="G39" i="2" s="1"/>
  <c r="F21" i="2"/>
  <c r="F33" i="2" s="1"/>
  <c r="F39" i="2" s="1"/>
  <c r="E21" i="2"/>
  <c r="E33" i="2" s="1"/>
  <c r="E39" i="2" s="1"/>
  <c r="D21" i="2"/>
  <c r="C21" i="2"/>
  <c r="B38" i="1"/>
  <c r="I104" i="3" s="1"/>
  <c r="B30" i="1"/>
  <c r="B29" i="1"/>
  <c r="J16" i="2" s="1"/>
  <c r="B28" i="1"/>
  <c r="B23" i="1"/>
  <c r="B26" i="1" s="1"/>
  <c r="B31" i="1" s="1"/>
  <c r="B14" i="1"/>
  <c r="I75" i="3" l="1"/>
  <c r="I81" i="3" s="1"/>
  <c r="I87" i="3"/>
  <c r="I64" i="3"/>
  <c r="D87" i="2"/>
  <c r="D64" i="2"/>
  <c r="F87" i="2"/>
  <c r="F75" i="2"/>
  <c r="F81" i="2" s="1"/>
  <c r="F93" i="2" s="1"/>
  <c r="F64" i="2"/>
  <c r="F88" i="2" s="1"/>
  <c r="D59" i="2"/>
  <c r="J75" i="2"/>
  <c r="J81" i="2" s="1"/>
  <c r="J64" i="2"/>
  <c r="J87" i="2"/>
  <c r="I51" i="4"/>
  <c r="I57" i="4" s="1"/>
  <c r="E54" i="4"/>
  <c r="E60" i="4" s="1"/>
  <c r="D11" i="5"/>
  <c r="D12" i="5" s="1"/>
  <c r="F55" i="2"/>
  <c r="J107" i="2"/>
  <c r="C58" i="4"/>
  <c r="C54" i="4"/>
  <c r="J35" i="4"/>
  <c r="J41" i="4" s="1"/>
  <c r="B27" i="7"/>
  <c r="H33" i="4"/>
  <c r="H39" i="4" s="1"/>
  <c r="C45" i="4"/>
  <c r="C51" i="4" s="1"/>
  <c r="C57" i="4" s="1"/>
  <c r="D49" i="2"/>
  <c r="H54" i="4"/>
  <c r="E45" i="4"/>
  <c r="E51" i="4" s="1"/>
  <c r="E57" i="4" s="1"/>
  <c r="D16" i="2"/>
  <c r="D107" i="2" s="1"/>
  <c r="G35" i="2"/>
  <c r="G41" i="2" s="1"/>
  <c r="G53" i="2" s="1"/>
  <c r="D104" i="2"/>
  <c r="F36" i="2"/>
  <c r="F42" i="2" s="1"/>
  <c r="F54" i="2" s="1"/>
  <c r="H49" i="2"/>
  <c r="H55" i="2" s="1"/>
  <c r="E104" i="2"/>
  <c r="D22" i="7"/>
  <c r="D33" i="7" s="1"/>
  <c r="D44" i="7" s="1"/>
  <c r="J34" i="3"/>
  <c r="J40" i="3" s="1"/>
  <c r="J52" i="3" s="1"/>
  <c r="F35" i="4"/>
  <c r="F41" i="4" s="1"/>
  <c r="F53" i="4" s="1"/>
  <c r="D54" i="4"/>
  <c r="D60" i="4" s="1"/>
  <c r="C36" i="7"/>
  <c r="C47" i="7" s="1"/>
  <c r="G35" i="3"/>
  <c r="G41" i="3" s="1"/>
  <c r="G53" i="3" s="1"/>
  <c r="I37" i="3"/>
  <c r="I43" i="3" s="1"/>
  <c r="I49" i="3"/>
  <c r="C104" i="2"/>
  <c r="J104" i="3"/>
  <c r="J58" i="3" s="1"/>
  <c r="H45" i="4"/>
  <c r="C22" i="7"/>
  <c r="C33" i="7" s="1"/>
  <c r="C44" i="7" s="1"/>
  <c r="C33" i="2"/>
  <c r="C39" i="2" s="1"/>
  <c r="C51" i="2" s="1"/>
  <c r="C57" i="2" s="1"/>
  <c r="C37" i="2"/>
  <c r="C43" i="2" s="1"/>
  <c r="J49" i="2"/>
  <c r="J55" i="2" s="1"/>
  <c r="J61" i="2" s="1"/>
  <c r="G104" i="2"/>
  <c r="J34" i="4"/>
  <c r="J40" i="4" s="1"/>
  <c r="J52" i="4" s="1"/>
  <c r="J58" i="4" s="1"/>
  <c r="H37" i="4"/>
  <c r="H43" i="4" s="1"/>
  <c r="H55" i="4" s="1"/>
  <c r="E22" i="7"/>
  <c r="E33" i="7" s="1"/>
  <c r="E44" i="7" s="1"/>
  <c r="G51" i="4"/>
  <c r="D33" i="4"/>
  <c r="D39" i="4" s="1"/>
  <c r="D51" i="4" s="1"/>
  <c r="I54" i="4"/>
  <c r="I60" i="4" s="1"/>
  <c r="D33" i="3"/>
  <c r="D39" i="3" s="1"/>
  <c r="F49" i="3"/>
  <c r="J37" i="3"/>
  <c r="J43" i="3" s="1"/>
  <c r="F49" i="2"/>
  <c r="H104" i="3"/>
  <c r="D33" i="2"/>
  <c r="D39" i="2" s="1"/>
  <c r="D51" i="2" s="1"/>
  <c r="D57" i="2" s="1"/>
  <c r="D37" i="2"/>
  <c r="D43" i="2" s="1"/>
  <c r="D55" i="2" s="1"/>
  <c r="D61" i="2" s="1"/>
  <c r="H104" i="2"/>
  <c r="G34" i="3"/>
  <c r="G40" i="3" s="1"/>
  <c r="G52" i="3" s="1"/>
  <c r="G58" i="3" s="1"/>
  <c r="E37" i="3"/>
  <c r="E43" i="3" s="1"/>
  <c r="E55" i="3" s="1"/>
  <c r="D45" i="3"/>
  <c r="C51" i="3"/>
  <c r="C57" i="3" s="1"/>
  <c r="J47" i="4"/>
  <c r="C23" i="7"/>
  <c r="C34" i="7" s="1"/>
  <c r="C45" i="7" s="1"/>
  <c r="I34" i="3"/>
  <c r="I40" i="3" s="1"/>
  <c r="I52" i="3" s="1"/>
  <c r="E23" i="7"/>
  <c r="E35" i="4"/>
  <c r="E41" i="4" s="1"/>
  <c r="E53" i="4" s="1"/>
  <c r="E59" i="4" s="1"/>
  <c r="D23" i="7"/>
  <c r="D34" i="7" s="1"/>
  <c r="D45" i="7" s="1"/>
  <c r="J63" i="3"/>
  <c r="J64" i="3" s="1"/>
  <c r="F33" i="4"/>
  <c r="F39" i="4" s="1"/>
  <c r="F51" i="4" s="1"/>
  <c r="E59" i="2"/>
  <c r="J47" i="2"/>
  <c r="J35" i="2"/>
  <c r="J41" i="2" s="1"/>
  <c r="J53" i="2" s="1"/>
  <c r="J59" i="2" s="1"/>
  <c r="D45" i="2"/>
  <c r="C46" i="3"/>
  <c r="C34" i="3"/>
  <c r="C40" i="3" s="1"/>
  <c r="C52" i="3" s="1"/>
  <c r="C58" i="3" s="1"/>
  <c r="F46" i="4"/>
  <c r="F34" i="4"/>
  <c r="F40" i="4" s="1"/>
  <c r="F52" i="4" s="1"/>
  <c r="D49" i="4"/>
  <c r="D37" i="4"/>
  <c r="D43" i="4" s="1"/>
  <c r="D55" i="4" s="1"/>
  <c r="E45" i="2"/>
  <c r="E51" i="2" s="1"/>
  <c r="C63" i="3"/>
  <c r="C49" i="3"/>
  <c r="C37" i="3"/>
  <c r="C43" i="3" s="1"/>
  <c r="D89" i="3"/>
  <c r="D66" i="3"/>
  <c r="I46" i="4"/>
  <c r="I34" i="4"/>
  <c r="I40" i="4" s="1"/>
  <c r="I52" i="4" s="1"/>
  <c r="I58" i="4" s="1"/>
  <c r="G49" i="4"/>
  <c r="G63" i="4"/>
  <c r="D63" i="4"/>
  <c r="J88" i="3"/>
  <c r="J65" i="3"/>
  <c r="G46" i="4"/>
  <c r="G34" i="4"/>
  <c r="G40" i="4" s="1"/>
  <c r="G52" i="4" s="1"/>
  <c r="F45" i="2"/>
  <c r="F51" i="2" s="1"/>
  <c r="F57" i="2" s="1"/>
  <c r="E46" i="3"/>
  <c r="E34" i="3"/>
  <c r="E40" i="3" s="1"/>
  <c r="E52" i="3" s="1"/>
  <c r="E58" i="3" s="1"/>
  <c r="E36" i="2"/>
  <c r="E42" i="2" s="1"/>
  <c r="E48" i="2"/>
  <c r="G45" i="2"/>
  <c r="G51" i="2" s="1"/>
  <c r="D34" i="2"/>
  <c r="D40" i="2" s="1"/>
  <c r="D52" i="2" s="1"/>
  <c r="D58" i="2" s="1"/>
  <c r="E53" i="3"/>
  <c r="F53" i="3"/>
  <c r="F59" i="3" s="1"/>
  <c r="D107" i="3"/>
  <c r="D36" i="2"/>
  <c r="D42" i="2" s="1"/>
  <c r="D48" i="2"/>
  <c r="H33" i="2"/>
  <c r="H39" i="2" s="1"/>
  <c r="H51" i="2" s="1"/>
  <c r="H57" i="2" s="1"/>
  <c r="D77" i="3"/>
  <c r="D83" i="3" s="1"/>
  <c r="D95" i="3" s="1"/>
  <c r="D101" i="3" s="1"/>
  <c r="C37" i="7"/>
  <c r="C48" i="7" s="1"/>
  <c r="C27" i="7"/>
  <c r="G37" i="2"/>
  <c r="G43" i="2" s="1"/>
  <c r="G55" i="2" s="1"/>
  <c r="G61" i="2" s="1"/>
  <c r="G37" i="4"/>
  <c r="G43" i="4" s="1"/>
  <c r="I36" i="2"/>
  <c r="I42" i="2" s="1"/>
  <c r="C87" i="2"/>
  <c r="C64" i="2"/>
  <c r="C75" i="2"/>
  <c r="C81" i="2" s="1"/>
  <c r="C93" i="2" s="1"/>
  <c r="D36" i="3"/>
  <c r="D42" i="3" s="1"/>
  <c r="D54" i="3" s="1"/>
  <c r="D60" i="3" s="1"/>
  <c r="D46" i="3"/>
  <c r="D52" i="3" s="1"/>
  <c r="D58" i="3" s="1"/>
  <c r="C34" i="2"/>
  <c r="C40" i="2" s="1"/>
  <c r="C52" i="2" s="1"/>
  <c r="J75" i="3"/>
  <c r="J81" i="3" s="1"/>
  <c r="D88" i="3"/>
  <c r="J52" i="2"/>
  <c r="J58" i="2" s="1"/>
  <c r="F65" i="2"/>
  <c r="F76" i="2"/>
  <c r="F82" i="2" s="1"/>
  <c r="F94" i="2" s="1"/>
  <c r="F45" i="3"/>
  <c r="F33" i="3"/>
  <c r="F39" i="3" s="1"/>
  <c r="F51" i="3" s="1"/>
  <c r="F57" i="3" s="1"/>
  <c r="C59" i="2"/>
  <c r="I48" i="2"/>
  <c r="G45" i="3"/>
  <c r="G33" i="3"/>
  <c r="G39" i="3" s="1"/>
  <c r="G51" i="3" s="1"/>
  <c r="E48" i="3"/>
  <c r="E36" i="3"/>
  <c r="E42" i="3" s="1"/>
  <c r="I36" i="3"/>
  <c r="I42" i="3" s="1"/>
  <c r="I54" i="3" s="1"/>
  <c r="D87" i="3"/>
  <c r="D75" i="3"/>
  <c r="D81" i="3" s="1"/>
  <c r="J45" i="4"/>
  <c r="J33" i="4"/>
  <c r="J39" i="4" s="1"/>
  <c r="J51" i="4" s="1"/>
  <c r="J57" i="4" s="1"/>
  <c r="C36" i="2"/>
  <c r="C42" i="2" s="1"/>
  <c r="C54" i="2" s="1"/>
  <c r="H46" i="4"/>
  <c r="H34" i="4"/>
  <c r="H40" i="4" s="1"/>
  <c r="H52" i="4" s="1"/>
  <c r="G36" i="2"/>
  <c r="G42" i="2" s="1"/>
  <c r="G54" i="2" s="1"/>
  <c r="I107" i="2"/>
  <c r="H34" i="3"/>
  <c r="H40" i="3" s="1"/>
  <c r="H52" i="3" s="1"/>
  <c r="C35" i="4"/>
  <c r="C41" i="4" s="1"/>
  <c r="C47" i="4"/>
  <c r="H65" i="4"/>
  <c r="H88" i="4"/>
  <c r="H76" i="4"/>
  <c r="H82" i="4" s="1"/>
  <c r="H94" i="4" s="1"/>
  <c r="H100" i="4" s="1"/>
  <c r="C60" i="4"/>
  <c r="D53" i="3"/>
  <c r="D59" i="3" s="1"/>
  <c r="H53" i="3"/>
  <c r="J76" i="3"/>
  <c r="J82" i="3" s="1"/>
  <c r="H45" i="3"/>
  <c r="H33" i="3"/>
  <c r="H39" i="3" s="1"/>
  <c r="H51" i="3" s="1"/>
  <c r="J36" i="3"/>
  <c r="J42" i="3" s="1"/>
  <c r="J54" i="3" s="1"/>
  <c r="E87" i="3"/>
  <c r="E75" i="3"/>
  <c r="E81" i="3" s="1"/>
  <c r="E93" i="3" s="1"/>
  <c r="E64" i="3"/>
  <c r="D76" i="3"/>
  <c r="D82" i="3" s="1"/>
  <c r="F52" i="2"/>
  <c r="H88" i="2"/>
  <c r="H76" i="2"/>
  <c r="H82" i="2" s="1"/>
  <c r="H94" i="2" s="1"/>
  <c r="H65" i="2"/>
  <c r="I45" i="3"/>
  <c r="I33" i="3"/>
  <c r="I39" i="3" s="1"/>
  <c r="I51" i="3" s="1"/>
  <c r="I57" i="3" s="1"/>
  <c r="F75" i="3"/>
  <c r="F81" i="3" s="1"/>
  <c r="F93" i="3" s="1"/>
  <c r="F99" i="3" s="1"/>
  <c r="F64" i="3"/>
  <c r="D46" i="4"/>
  <c r="D34" i="4"/>
  <c r="D40" i="4" s="1"/>
  <c r="D52" i="4" s="1"/>
  <c r="D58" i="4" s="1"/>
  <c r="J48" i="4"/>
  <c r="J36" i="4"/>
  <c r="J42" i="4" s="1"/>
  <c r="F63" i="4"/>
  <c r="F49" i="4"/>
  <c r="F55" i="4" s="1"/>
  <c r="F61" i="4" s="1"/>
  <c r="E63" i="4"/>
  <c r="I33" i="2"/>
  <c r="I39" i="2" s="1"/>
  <c r="I45" i="2"/>
  <c r="J36" i="2"/>
  <c r="J42" i="2" s="1"/>
  <c r="E34" i="2"/>
  <c r="E40" i="2" s="1"/>
  <c r="E46" i="2"/>
  <c r="J87" i="3"/>
  <c r="E37" i="4"/>
  <c r="E43" i="4" s="1"/>
  <c r="E55" i="4" s="1"/>
  <c r="E61" i="4" s="1"/>
  <c r="J48" i="2"/>
  <c r="F48" i="3"/>
  <c r="F36" i="3"/>
  <c r="F42" i="3" s="1"/>
  <c r="H35" i="2"/>
  <c r="H41" i="2" s="1"/>
  <c r="H47" i="2"/>
  <c r="C49" i="2"/>
  <c r="C55" i="2" s="1"/>
  <c r="C45" i="2"/>
  <c r="J55" i="3"/>
  <c r="G75" i="3"/>
  <c r="G81" i="3" s="1"/>
  <c r="G93" i="3" s="1"/>
  <c r="G64" i="3"/>
  <c r="E34" i="4"/>
  <c r="E40" i="4" s="1"/>
  <c r="E46" i="4"/>
  <c r="C37" i="4"/>
  <c r="C43" i="4" s="1"/>
  <c r="C55" i="4" s="1"/>
  <c r="C61" i="4" s="1"/>
  <c r="C63" i="4"/>
  <c r="I49" i="4"/>
  <c r="I37" i="4"/>
  <c r="I43" i="4" s="1"/>
  <c r="I55" i="4" s="1"/>
  <c r="I61" i="4" s="1"/>
  <c r="J45" i="2"/>
  <c r="J33" i="2"/>
  <c r="J39" i="2" s="1"/>
  <c r="J51" i="2" s="1"/>
  <c r="J57" i="2" s="1"/>
  <c r="H48" i="2"/>
  <c r="H36" i="2"/>
  <c r="H42" i="2" s="1"/>
  <c r="H54" i="2" s="1"/>
  <c r="J33" i="3"/>
  <c r="J39" i="3" s="1"/>
  <c r="J45" i="3"/>
  <c r="H36" i="3"/>
  <c r="H42" i="3" s="1"/>
  <c r="H48" i="3"/>
  <c r="D35" i="4"/>
  <c r="D41" i="4" s="1"/>
  <c r="D53" i="4" s="1"/>
  <c r="J49" i="4"/>
  <c r="J37" i="4"/>
  <c r="J43" i="4" s="1"/>
  <c r="D49" i="3"/>
  <c r="D37" i="3"/>
  <c r="D43" i="3" s="1"/>
  <c r="E63" i="2"/>
  <c r="E49" i="2"/>
  <c r="E37" i="2"/>
  <c r="E43" i="2" s="1"/>
  <c r="I63" i="4"/>
  <c r="F37" i="3"/>
  <c r="F43" i="3" s="1"/>
  <c r="F55" i="3" s="1"/>
  <c r="F61" i="3" s="1"/>
  <c r="D47" i="4"/>
  <c r="J63" i="4"/>
  <c r="G63" i="2"/>
  <c r="G37" i="3"/>
  <c r="G43" i="3" s="1"/>
  <c r="G35" i="4"/>
  <c r="G41" i="4" s="1"/>
  <c r="G53" i="4" s="1"/>
  <c r="I107" i="4"/>
  <c r="I16" i="2"/>
  <c r="I58" i="2" s="1"/>
  <c r="H16" i="2"/>
  <c r="F16" i="2"/>
  <c r="E16" i="2"/>
  <c r="E107" i="2" s="1"/>
  <c r="I16" i="3"/>
  <c r="I107" i="3" s="1"/>
  <c r="H16" i="3"/>
  <c r="C16" i="2"/>
  <c r="F16" i="4"/>
  <c r="F59" i="4" s="1"/>
  <c r="H75" i="2"/>
  <c r="H81" i="2" s="1"/>
  <c r="H87" i="2"/>
  <c r="D75" i="2"/>
  <c r="D81" i="2" s="1"/>
  <c r="D93" i="2" s="1"/>
  <c r="D99" i="2" s="1"/>
  <c r="G49" i="3"/>
  <c r="H35" i="4"/>
  <c r="H41" i="4" s="1"/>
  <c r="H53" i="4" s="1"/>
  <c r="J107" i="4"/>
  <c r="D37" i="7"/>
  <c r="D48" i="7" s="1"/>
  <c r="D27" i="7"/>
  <c r="I35" i="4"/>
  <c r="I41" i="4" s="1"/>
  <c r="I53" i="4" s="1"/>
  <c r="I59" i="4" s="1"/>
  <c r="E35" i="7"/>
  <c r="E46" i="7" s="1"/>
  <c r="E37" i="7"/>
  <c r="E48" i="7" s="1"/>
  <c r="E27" i="7"/>
  <c r="I37" i="2"/>
  <c r="I43" i="2" s="1"/>
  <c r="I55" i="2" s="1"/>
  <c r="I63" i="2"/>
  <c r="H87" i="4"/>
  <c r="H75" i="4"/>
  <c r="H81" i="4" s="1"/>
  <c r="H93" i="4" s="1"/>
  <c r="J16" i="3"/>
  <c r="G16" i="2"/>
  <c r="G107" i="2" s="1"/>
  <c r="H16" i="4"/>
  <c r="E16" i="3"/>
  <c r="D16" i="4"/>
  <c r="H63" i="3"/>
  <c r="H49" i="3"/>
  <c r="G16" i="4"/>
  <c r="G107" i="4" s="1"/>
  <c r="G16" i="3"/>
  <c r="G59" i="3" s="1"/>
  <c r="E34" i="7"/>
  <c r="E45" i="7" s="1"/>
  <c r="D107" i="4"/>
  <c r="F36" i="4"/>
  <c r="F42" i="4" s="1"/>
  <c r="F54" i="4" s="1"/>
  <c r="E33" i="3"/>
  <c r="E39" i="3" s="1"/>
  <c r="E51" i="3" s="1"/>
  <c r="C36" i="3"/>
  <c r="C42" i="3" s="1"/>
  <c r="C54" i="3" s="1"/>
  <c r="C60" i="3" s="1"/>
  <c r="H37" i="3"/>
  <c r="H43" i="3" s="1"/>
  <c r="E104" i="3"/>
  <c r="H104" i="4"/>
  <c r="F104" i="2"/>
  <c r="D25" i="7"/>
  <c r="D36" i="7" s="1"/>
  <c r="D47" i="7" s="1"/>
  <c r="E25" i="7"/>
  <c r="E36" i="7" s="1"/>
  <c r="E47" i="7" s="1"/>
  <c r="B38" i="7" l="1"/>
  <c r="B49" i="7" s="1"/>
  <c r="B28" i="7"/>
  <c r="J53" i="4"/>
  <c r="J59" i="4" s="1"/>
  <c r="J61" i="3"/>
  <c r="G60" i="3"/>
  <c r="H93" i="2"/>
  <c r="H99" i="2" s="1"/>
  <c r="D59" i="4"/>
  <c r="D51" i="3"/>
  <c r="D57" i="3" s="1"/>
  <c r="H51" i="4"/>
  <c r="D57" i="4"/>
  <c r="I55" i="3"/>
  <c r="I61" i="3" s="1"/>
  <c r="C61" i="2"/>
  <c r="H57" i="4"/>
  <c r="C53" i="4"/>
  <c r="C59" i="4" s="1"/>
  <c r="H60" i="4"/>
  <c r="H107" i="3"/>
  <c r="J107" i="3"/>
  <c r="G60" i="2"/>
  <c r="G57" i="4"/>
  <c r="J65" i="2"/>
  <c r="J76" i="2"/>
  <c r="J82" i="2" s="1"/>
  <c r="J88" i="2"/>
  <c r="H107" i="2"/>
  <c r="J93" i="2"/>
  <c r="J99" i="2" s="1"/>
  <c r="E61" i="3"/>
  <c r="E57" i="2"/>
  <c r="G55" i="3"/>
  <c r="G61" i="3" s="1"/>
  <c r="J60" i="3"/>
  <c r="G57" i="2"/>
  <c r="I65" i="3"/>
  <c r="I88" i="3"/>
  <c r="I76" i="3"/>
  <c r="I82" i="3" s="1"/>
  <c r="I94" i="3" s="1"/>
  <c r="I100" i="3" s="1"/>
  <c r="G58" i="4"/>
  <c r="I93" i="3"/>
  <c r="I99" i="3" s="1"/>
  <c r="H99" i="4"/>
  <c r="H61" i="4"/>
  <c r="G59" i="4"/>
  <c r="G107" i="3"/>
  <c r="H55" i="3"/>
  <c r="H61" i="3" s="1"/>
  <c r="D61" i="4"/>
  <c r="D76" i="2"/>
  <c r="D82" i="2" s="1"/>
  <c r="D65" i="2"/>
  <c r="D88" i="2"/>
  <c r="E57" i="3"/>
  <c r="I54" i="2"/>
  <c r="I51" i="2"/>
  <c r="H53" i="2"/>
  <c r="H59" i="2" s="1"/>
  <c r="F65" i="3"/>
  <c r="F76" i="3"/>
  <c r="F82" i="3" s="1"/>
  <c r="F88" i="3"/>
  <c r="H54" i="3"/>
  <c r="H60" i="3" s="1"/>
  <c r="H58" i="3"/>
  <c r="J89" i="3"/>
  <c r="J66" i="3"/>
  <c r="J77" i="3"/>
  <c r="J83" i="3" s="1"/>
  <c r="J95" i="3" s="1"/>
  <c r="J101" i="3" s="1"/>
  <c r="D94" i="3"/>
  <c r="D100" i="3" s="1"/>
  <c r="D87" i="4"/>
  <c r="D64" i="4"/>
  <c r="D75" i="4"/>
  <c r="D81" i="4" s="1"/>
  <c r="D93" i="4" s="1"/>
  <c r="D99" i="4" s="1"/>
  <c r="G60" i="4"/>
  <c r="F59" i="2"/>
  <c r="C60" i="2"/>
  <c r="D38" i="7"/>
  <c r="D49" i="7" s="1"/>
  <c r="D28" i="7"/>
  <c r="J75" i="4"/>
  <c r="J81" i="4" s="1"/>
  <c r="J87" i="4"/>
  <c r="J64" i="4"/>
  <c r="C64" i="4"/>
  <c r="C75" i="4"/>
  <c r="C81" i="4" s="1"/>
  <c r="C87" i="4"/>
  <c r="D93" i="3"/>
  <c r="D99" i="3" s="1"/>
  <c r="G87" i="4"/>
  <c r="G75" i="4"/>
  <c r="G81" i="4" s="1"/>
  <c r="G93" i="4" s="1"/>
  <c r="G99" i="4" s="1"/>
  <c r="G64" i="4"/>
  <c r="G58" i="2"/>
  <c r="F107" i="4"/>
  <c r="I57" i="2"/>
  <c r="C99" i="2"/>
  <c r="J55" i="4"/>
  <c r="J61" i="4" s="1"/>
  <c r="E54" i="2"/>
  <c r="E60" i="2" s="1"/>
  <c r="H89" i="4"/>
  <c r="H77" i="4"/>
  <c r="H83" i="4" s="1"/>
  <c r="H95" i="4" s="1"/>
  <c r="H101" i="4" s="1"/>
  <c r="H66" i="4"/>
  <c r="I64" i="2"/>
  <c r="I75" i="2"/>
  <c r="I81" i="2" s="1"/>
  <c r="I87" i="2"/>
  <c r="H58" i="4"/>
  <c r="F60" i="4"/>
  <c r="E87" i="4"/>
  <c r="E64" i="4"/>
  <c r="E75" i="4"/>
  <c r="E81" i="4" s="1"/>
  <c r="E93" i="4" s="1"/>
  <c r="E99" i="4" s="1"/>
  <c r="H57" i="3"/>
  <c r="I60" i="3"/>
  <c r="C76" i="2"/>
  <c r="C82" i="2" s="1"/>
  <c r="C65" i="2"/>
  <c r="C88" i="2"/>
  <c r="E59" i="3"/>
  <c r="I59" i="2"/>
  <c r="J59" i="3"/>
  <c r="F107" i="2"/>
  <c r="F58" i="4"/>
  <c r="E52" i="2"/>
  <c r="E58" i="2" s="1"/>
  <c r="F57" i="4"/>
  <c r="H75" i="3"/>
  <c r="H81" i="3" s="1"/>
  <c r="H93" i="3" s="1"/>
  <c r="H99" i="3" s="1"/>
  <c r="H64" i="3"/>
  <c r="H87" i="3"/>
  <c r="H59" i="4"/>
  <c r="I87" i="4"/>
  <c r="I75" i="4"/>
  <c r="I81" i="4" s="1"/>
  <c r="I93" i="4" s="1"/>
  <c r="I99" i="4" s="1"/>
  <c r="I64" i="4"/>
  <c r="E52" i="4"/>
  <c r="E58" i="4" s="1"/>
  <c r="E54" i="3"/>
  <c r="E60" i="3" s="1"/>
  <c r="C87" i="3"/>
  <c r="C75" i="3"/>
  <c r="C81" i="3" s="1"/>
  <c r="C64" i="3"/>
  <c r="F54" i="3"/>
  <c r="F60" i="3" s="1"/>
  <c r="H89" i="2"/>
  <c r="H77" i="2"/>
  <c r="H83" i="2" s="1"/>
  <c r="H66" i="2"/>
  <c r="F58" i="2"/>
  <c r="F61" i="2"/>
  <c r="E65" i="3"/>
  <c r="E76" i="3"/>
  <c r="E82" i="3" s="1"/>
  <c r="E88" i="3"/>
  <c r="E99" i="3"/>
  <c r="J94" i="3"/>
  <c r="J100" i="3" s="1"/>
  <c r="I60" i="2"/>
  <c r="H61" i="2"/>
  <c r="H58" i="2"/>
  <c r="H60" i="2"/>
  <c r="C58" i="2"/>
  <c r="J54" i="2"/>
  <c r="J60" i="2" s="1"/>
  <c r="G87" i="2"/>
  <c r="G75" i="2"/>
  <c r="G81" i="2" s="1"/>
  <c r="G93" i="2" s="1"/>
  <c r="G99" i="2" s="1"/>
  <c r="G64" i="2"/>
  <c r="G99" i="3"/>
  <c r="F87" i="4"/>
  <c r="F64" i="4"/>
  <c r="F75" i="4"/>
  <c r="F81" i="4" s="1"/>
  <c r="F93" i="4" s="1"/>
  <c r="F99" i="4" s="1"/>
  <c r="H59" i="3"/>
  <c r="G57" i="3"/>
  <c r="D90" i="3"/>
  <c r="D78" i="3"/>
  <c r="D84" i="3" s="1"/>
  <c r="D96" i="3" s="1"/>
  <c r="D102" i="3" s="1"/>
  <c r="D67" i="3"/>
  <c r="C38" i="7"/>
  <c r="C49" i="7" s="1"/>
  <c r="C28" i="7"/>
  <c r="I58" i="3"/>
  <c r="F100" i="2"/>
  <c r="F77" i="2"/>
  <c r="F83" i="2" s="1"/>
  <c r="F89" i="2"/>
  <c r="F66" i="2"/>
  <c r="F60" i="2"/>
  <c r="I61" i="2"/>
  <c r="I59" i="3"/>
  <c r="D54" i="2"/>
  <c r="D60" i="2" s="1"/>
  <c r="E107" i="3"/>
  <c r="G88" i="3"/>
  <c r="G65" i="3"/>
  <c r="G76" i="3"/>
  <c r="G82" i="3" s="1"/>
  <c r="G94" i="3" s="1"/>
  <c r="G100" i="3" s="1"/>
  <c r="J51" i="3"/>
  <c r="J57" i="3" s="1"/>
  <c r="H100" i="2"/>
  <c r="E38" i="7"/>
  <c r="E49" i="7" s="1"/>
  <c r="E28" i="7"/>
  <c r="J93" i="3"/>
  <c r="J99" i="3" s="1"/>
  <c r="E55" i="2"/>
  <c r="E61" i="2" s="1"/>
  <c r="H107" i="4"/>
  <c r="E87" i="2"/>
  <c r="E75" i="2"/>
  <c r="E81" i="2" s="1"/>
  <c r="E64" i="2"/>
  <c r="D55" i="3"/>
  <c r="D61" i="3" s="1"/>
  <c r="J54" i="4"/>
  <c r="J60" i="4" s="1"/>
  <c r="G55" i="4"/>
  <c r="G61" i="4" s="1"/>
  <c r="C55" i="3"/>
  <c r="C61" i="3" s="1"/>
  <c r="G59" i="2"/>
  <c r="F99" i="2"/>
  <c r="I89" i="3" l="1"/>
  <c r="I66" i="3"/>
  <c r="I77" i="3"/>
  <c r="I83" i="3" s="1"/>
  <c r="I95" i="3" s="1"/>
  <c r="I101" i="3" s="1"/>
  <c r="D66" i="2"/>
  <c r="D77" i="2"/>
  <c r="D83" i="2" s="1"/>
  <c r="D89" i="2"/>
  <c r="D94" i="2"/>
  <c r="D100" i="2" s="1"/>
  <c r="E93" i="2"/>
  <c r="E99" i="2" s="1"/>
  <c r="J94" i="2"/>
  <c r="J100" i="2" s="1"/>
  <c r="J89" i="2"/>
  <c r="J77" i="2"/>
  <c r="J83" i="2" s="1"/>
  <c r="J95" i="2" s="1"/>
  <c r="J101" i="2" s="1"/>
  <c r="J66" i="2"/>
  <c r="B39" i="7"/>
  <c r="B50" i="7" s="1"/>
  <c r="B29" i="7"/>
  <c r="J88" i="4"/>
  <c r="J76" i="4"/>
  <c r="J82" i="4" s="1"/>
  <c r="J65" i="4"/>
  <c r="E66" i="3"/>
  <c r="E89" i="3"/>
  <c r="E77" i="3"/>
  <c r="E83" i="3" s="1"/>
  <c r="E95" i="3" s="1"/>
  <c r="E101" i="3" s="1"/>
  <c r="H78" i="4"/>
  <c r="H84" i="4" s="1"/>
  <c r="H90" i="4"/>
  <c r="H67" i="4"/>
  <c r="F66" i="3"/>
  <c r="F77" i="3"/>
  <c r="F83" i="3" s="1"/>
  <c r="F95" i="3" s="1"/>
  <c r="F101" i="3" s="1"/>
  <c r="F89" i="3"/>
  <c r="D39" i="7"/>
  <c r="D50" i="7" s="1"/>
  <c r="D29" i="7"/>
  <c r="F78" i="2"/>
  <c r="F84" i="2" s="1"/>
  <c r="F90" i="2"/>
  <c r="F67" i="2"/>
  <c r="C76" i="4"/>
  <c r="C82" i="4" s="1"/>
  <c r="C65" i="4"/>
  <c r="C88" i="4"/>
  <c r="H95" i="2"/>
  <c r="H101" i="2" s="1"/>
  <c r="E94" i="3"/>
  <c r="E100" i="3" s="1"/>
  <c r="I65" i="2"/>
  <c r="I76" i="2"/>
  <c r="I82" i="2" s="1"/>
  <c r="I88" i="2"/>
  <c r="F76" i="4"/>
  <c r="F82" i="4" s="1"/>
  <c r="F65" i="4"/>
  <c r="F88" i="4"/>
  <c r="G65" i="4"/>
  <c r="G88" i="4"/>
  <c r="G76" i="4"/>
  <c r="G82" i="4" s="1"/>
  <c r="G94" i="4" s="1"/>
  <c r="G100" i="4" s="1"/>
  <c r="C93" i="4"/>
  <c r="C99" i="4" s="1"/>
  <c r="D91" i="3"/>
  <c r="D79" i="3"/>
  <c r="D85" i="3" s="1"/>
  <c r="H76" i="3"/>
  <c r="H82" i="3" s="1"/>
  <c r="H65" i="3"/>
  <c r="H88" i="3"/>
  <c r="I65" i="4"/>
  <c r="I76" i="4"/>
  <c r="I82" i="4" s="1"/>
  <c r="I88" i="4"/>
  <c r="C39" i="7"/>
  <c r="C50" i="7" s="1"/>
  <c r="C29" i="7"/>
  <c r="I93" i="2"/>
  <c r="I99" i="2" s="1"/>
  <c r="E29" i="7"/>
  <c r="E39" i="7"/>
  <c r="E50" i="7" s="1"/>
  <c r="F94" i="3"/>
  <c r="F100" i="3" s="1"/>
  <c r="G77" i="3"/>
  <c r="G83" i="3" s="1"/>
  <c r="G89" i="3"/>
  <c r="G66" i="3"/>
  <c r="J78" i="3"/>
  <c r="J84" i="3" s="1"/>
  <c r="J67" i="3"/>
  <c r="J90" i="3"/>
  <c r="H90" i="2"/>
  <c r="H67" i="2"/>
  <c r="H78" i="2"/>
  <c r="H84" i="2" s="1"/>
  <c r="G76" i="2"/>
  <c r="G82" i="2" s="1"/>
  <c r="G65" i="2"/>
  <c r="G88" i="2"/>
  <c r="C93" i="3"/>
  <c r="C99" i="3" s="1"/>
  <c r="C76" i="3"/>
  <c r="C82" i="3" s="1"/>
  <c r="C65" i="3"/>
  <c r="C88" i="3"/>
  <c r="C94" i="2"/>
  <c r="C100" i="2" s="1"/>
  <c r="D76" i="4"/>
  <c r="D82" i="4" s="1"/>
  <c r="D65" i="4"/>
  <c r="D88" i="4"/>
  <c r="F95" i="2"/>
  <c r="F101" i="2" s="1"/>
  <c r="E76" i="4"/>
  <c r="E82" i="4" s="1"/>
  <c r="E65" i="4"/>
  <c r="E88" i="4"/>
  <c r="J93" i="4"/>
  <c r="J99" i="4" s="1"/>
  <c r="C66" i="2"/>
  <c r="C89" i="2"/>
  <c r="C77" i="2"/>
  <c r="C83" i="2" s="1"/>
  <c r="E76" i="2"/>
  <c r="E82" i="2" s="1"/>
  <c r="E65" i="2"/>
  <c r="E88" i="2"/>
  <c r="D78" i="2" l="1"/>
  <c r="D84" i="2" s="1"/>
  <c r="D90" i="2"/>
  <c r="D67" i="2"/>
  <c r="G95" i="3"/>
  <c r="G101" i="3" s="1"/>
  <c r="J78" i="2"/>
  <c r="J84" i="2" s="1"/>
  <c r="J96" i="2" s="1"/>
  <c r="J102" i="2" s="1"/>
  <c r="J90" i="2"/>
  <c r="J67" i="2"/>
  <c r="I67" i="3"/>
  <c r="I78" i="3"/>
  <c r="I84" i="3" s="1"/>
  <c r="I90" i="3"/>
  <c r="C94" i="3"/>
  <c r="C100" i="3" s="1"/>
  <c r="B40" i="7"/>
  <c r="B51" i="7" s="1"/>
  <c r="B30" i="7"/>
  <c r="C94" i="4"/>
  <c r="C100" i="4" s="1"/>
  <c r="H96" i="2"/>
  <c r="H102" i="2" s="1"/>
  <c r="D95" i="2"/>
  <c r="D101" i="2" s="1"/>
  <c r="J96" i="3"/>
  <c r="J102" i="3" s="1"/>
  <c r="C89" i="3"/>
  <c r="C66" i="3"/>
  <c r="C77" i="3"/>
  <c r="C83" i="3" s="1"/>
  <c r="C95" i="3" s="1"/>
  <c r="C101" i="3" s="1"/>
  <c r="C90" i="2"/>
  <c r="C67" i="2"/>
  <c r="C78" i="2"/>
  <c r="C84" i="2" s="1"/>
  <c r="C30" i="7"/>
  <c r="C40" i="7"/>
  <c r="C51" i="7" s="1"/>
  <c r="E89" i="2"/>
  <c r="E66" i="2"/>
  <c r="E77" i="2"/>
  <c r="E83" i="2" s="1"/>
  <c r="E95" i="2" s="1"/>
  <c r="E101" i="2" s="1"/>
  <c r="H89" i="3"/>
  <c r="H77" i="3"/>
  <c r="H83" i="3" s="1"/>
  <c r="H95" i="3" s="1"/>
  <c r="H101" i="3" s="1"/>
  <c r="H66" i="3"/>
  <c r="F96" i="2"/>
  <c r="F102" i="2" s="1"/>
  <c r="E78" i="3"/>
  <c r="E84" i="3" s="1"/>
  <c r="E90" i="3"/>
  <c r="E67" i="3"/>
  <c r="E89" i="4"/>
  <c r="E77" i="4"/>
  <c r="E83" i="4" s="1"/>
  <c r="E95" i="4" s="1"/>
  <c r="E101" i="4" s="1"/>
  <c r="E66" i="4"/>
  <c r="G89" i="4"/>
  <c r="G77" i="4"/>
  <c r="G83" i="4" s="1"/>
  <c r="G95" i="4" s="1"/>
  <c r="G101" i="4" s="1"/>
  <c r="G66" i="4"/>
  <c r="J89" i="4"/>
  <c r="J77" i="4"/>
  <c r="J83" i="4" s="1"/>
  <c r="J95" i="4" s="1"/>
  <c r="J101" i="4" s="1"/>
  <c r="J66" i="4"/>
  <c r="G89" i="2"/>
  <c r="G66" i="2"/>
  <c r="G77" i="2"/>
  <c r="G83" i="2" s="1"/>
  <c r="G95" i="2" s="1"/>
  <c r="G101" i="2" s="1"/>
  <c r="I94" i="4"/>
  <c r="I100" i="4" s="1"/>
  <c r="C77" i="4"/>
  <c r="C83" i="4" s="1"/>
  <c r="C89" i="4"/>
  <c r="C66" i="4"/>
  <c r="I66" i="4"/>
  <c r="I89" i="4"/>
  <c r="I77" i="4"/>
  <c r="I83" i="4" s="1"/>
  <c r="E94" i="2"/>
  <c r="E100" i="2" s="1"/>
  <c r="D97" i="3"/>
  <c r="D103" i="3" s="1"/>
  <c r="D105" i="3" s="1"/>
  <c r="D109" i="3" s="1"/>
  <c r="G78" i="3"/>
  <c r="G84" i="3" s="1"/>
  <c r="G67" i="3"/>
  <c r="G90" i="3"/>
  <c r="F94" i="4"/>
  <c r="F100" i="4" s="1"/>
  <c r="H91" i="4"/>
  <c r="H79" i="4"/>
  <c r="H85" i="4" s="1"/>
  <c r="H97" i="4" s="1"/>
  <c r="H103" i="4" s="1"/>
  <c r="J91" i="3"/>
  <c r="J79" i="3"/>
  <c r="J85" i="3" s="1"/>
  <c r="J97" i="3" s="1"/>
  <c r="J103" i="3" s="1"/>
  <c r="J105" i="3" s="1"/>
  <c r="J109" i="3" s="1"/>
  <c r="E94" i="4"/>
  <c r="E100" i="4" s="1"/>
  <c r="F90" i="3"/>
  <c r="F78" i="3"/>
  <c r="F84" i="3" s="1"/>
  <c r="F96" i="3" s="1"/>
  <c r="F102" i="3" s="1"/>
  <c r="F67" i="3"/>
  <c r="I89" i="2"/>
  <c r="I77" i="2"/>
  <c r="I83" i="2" s="1"/>
  <c r="I66" i="2"/>
  <c r="J94" i="4"/>
  <c r="J100" i="4" s="1"/>
  <c r="G94" i="2"/>
  <c r="G100" i="2" s="1"/>
  <c r="H79" i="2"/>
  <c r="H85" i="2" s="1"/>
  <c r="H91" i="2"/>
  <c r="F91" i="2"/>
  <c r="F79" i="2"/>
  <c r="F85" i="2" s="1"/>
  <c r="C95" i="2"/>
  <c r="C101" i="2" s="1"/>
  <c r="H94" i="3"/>
  <c r="H100" i="3" s="1"/>
  <c r="D30" i="7"/>
  <c r="D40" i="7"/>
  <c r="D51" i="7" s="1"/>
  <c r="D66" i="4"/>
  <c r="D89" i="4"/>
  <c r="D77" i="4"/>
  <c r="D83" i="4" s="1"/>
  <c r="D95" i="4" s="1"/>
  <c r="D101" i="4" s="1"/>
  <c r="F89" i="4"/>
  <c r="F77" i="4"/>
  <c r="F83" i="4" s="1"/>
  <c r="F95" i="4" s="1"/>
  <c r="F101" i="4" s="1"/>
  <c r="F66" i="4"/>
  <c r="D94" i="4"/>
  <c r="D100" i="4" s="1"/>
  <c r="E40" i="7"/>
  <c r="E51" i="7" s="1"/>
  <c r="E30" i="7"/>
  <c r="I94" i="2"/>
  <c r="I100" i="2" s="1"/>
  <c r="H96" i="4"/>
  <c r="H102" i="4" s="1"/>
  <c r="I79" i="3" l="1"/>
  <c r="I85" i="3" s="1"/>
  <c r="I91" i="3"/>
  <c r="B31" i="7"/>
  <c r="B42" i="7" s="1"/>
  <c r="B41" i="7"/>
  <c r="B52" i="7" s="1"/>
  <c r="I96" i="3"/>
  <c r="I102" i="3" s="1"/>
  <c r="H105" i="4"/>
  <c r="H109" i="4" s="1"/>
  <c r="J91" i="2"/>
  <c r="J79" i="2"/>
  <c r="J85" i="2" s="1"/>
  <c r="J97" i="2" s="1"/>
  <c r="J103" i="2" s="1"/>
  <c r="J105" i="2" s="1"/>
  <c r="J109" i="2" s="1"/>
  <c r="C95" i="4"/>
  <c r="C101" i="4" s="1"/>
  <c r="D91" i="2"/>
  <c r="D79" i="2"/>
  <c r="D85" i="2" s="1"/>
  <c r="D97" i="2" s="1"/>
  <c r="D103" i="2" s="1"/>
  <c r="C96" i="2"/>
  <c r="C102" i="2" s="1"/>
  <c r="D96" i="2"/>
  <c r="D102" i="2" s="1"/>
  <c r="H78" i="3"/>
  <c r="H84" i="3" s="1"/>
  <c r="H67" i="3"/>
  <c r="H90" i="3"/>
  <c r="E31" i="7"/>
  <c r="E42" i="7" s="1"/>
  <c r="E41" i="7"/>
  <c r="E52" i="7" s="1"/>
  <c r="C31" i="7"/>
  <c r="C42" i="7" s="1"/>
  <c r="C41" i="7"/>
  <c r="C52" i="7" s="1"/>
  <c r="H97" i="2"/>
  <c r="H103" i="2" s="1"/>
  <c r="H105" i="2" s="1"/>
  <c r="H109" i="2" s="1"/>
  <c r="I90" i="4"/>
  <c r="I78" i="4"/>
  <c r="I84" i="4" s="1"/>
  <c r="I67" i="4"/>
  <c r="F90" i="4"/>
  <c r="F67" i="4"/>
  <c r="F78" i="4"/>
  <c r="F84" i="4" s="1"/>
  <c r="I67" i="2"/>
  <c r="I90" i="2"/>
  <c r="I78" i="2"/>
  <c r="I84" i="2" s="1"/>
  <c r="I96" i="2" s="1"/>
  <c r="I102" i="2" s="1"/>
  <c r="E90" i="2"/>
  <c r="E78" i="2"/>
  <c r="E84" i="2" s="1"/>
  <c r="E67" i="2"/>
  <c r="F79" i="3"/>
  <c r="F85" i="3" s="1"/>
  <c r="F91" i="3"/>
  <c r="C90" i="4"/>
  <c r="C78" i="4"/>
  <c r="C84" i="4" s="1"/>
  <c r="C96" i="4" s="1"/>
  <c r="C102" i="4" s="1"/>
  <c r="C67" i="4"/>
  <c r="J90" i="4"/>
  <c r="J78" i="4"/>
  <c r="J84" i="4" s="1"/>
  <c r="J96" i="4" s="1"/>
  <c r="J102" i="4" s="1"/>
  <c r="J67" i="4"/>
  <c r="C79" i="2"/>
  <c r="C85" i="2" s="1"/>
  <c r="C91" i="2"/>
  <c r="G96" i="3"/>
  <c r="G102" i="3" s="1"/>
  <c r="E91" i="3"/>
  <c r="E79" i="3"/>
  <c r="E85" i="3" s="1"/>
  <c r="E97" i="3" s="1"/>
  <c r="E103" i="3" s="1"/>
  <c r="I95" i="2"/>
  <c r="I101" i="2" s="1"/>
  <c r="G90" i="4"/>
  <c r="G67" i="4"/>
  <c r="G78" i="4"/>
  <c r="G84" i="4" s="1"/>
  <c r="D78" i="4"/>
  <c r="D84" i="4" s="1"/>
  <c r="D90" i="4"/>
  <c r="D67" i="4"/>
  <c r="E67" i="4"/>
  <c r="E90" i="4"/>
  <c r="E78" i="4"/>
  <c r="E84" i="4" s="1"/>
  <c r="E96" i="4" s="1"/>
  <c r="E102" i="4" s="1"/>
  <c r="I95" i="4"/>
  <c r="I101" i="4" s="1"/>
  <c r="G90" i="2"/>
  <c r="G67" i="2"/>
  <c r="G78" i="2"/>
  <c r="G84" i="2" s="1"/>
  <c r="G96" i="2" s="1"/>
  <c r="G102" i="2" s="1"/>
  <c r="C90" i="3"/>
  <c r="C78" i="3"/>
  <c r="C84" i="3" s="1"/>
  <c r="C96" i="3" s="1"/>
  <c r="C102" i="3" s="1"/>
  <c r="C67" i="3"/>
  <c r="D31" i="7"/>
  <c r="D42" i="7" s="1"/>
  <c r="D41" i="7"/>
  <c r="D52" i="7" s="1"/>
  <c r="G91" i="3"/>
  <c r="G79" i="3"/>
  <c r="G85" i="3" s="1"/>
  <c r="F97" i="2"/>
  <c r="F103" i="2" s="1"/>
  <c r="F105" i="2" s="1"/>
  <c r="F109" i="2" s="1"/>
  <c r="E96" i="3"/>
  <c r="E102" i="3" s="1"/>
  <c r="D96" i="4" l="1"/>
  <c r="D102" i="4" s="1"/>
  <c r="D105" i="2"/>
  <c r="D109" i="2" s="1"/>
  <c r="E96" i="2"/>
  <c r="E102" i="2" s="1"/>
  <c r="G96" i="4"/>
  <c r="G102" i="4" s="1"/>
  <c r="F96" i="4"/>
  <c r="F102" i="4" s="1"/>
  <c r="B53" i="7"/>
  <c r="B54" i="7" s="1"/>
  <c r="B57" i="7" s="1"/>
  <c r="B58" i="7" s="1"/>
  <c r="B59" i="7" s="1"/>
  <c r="B60" i="7" s="1"/>
  <c r="B55" i="7"/>
  <c r="B56" i="7" s="1"/>
  <c r="G97" i="3"/>
  <c r="G103" i="3" s="1"/>
  <c r="I97" i="3"/>
  <c r="I103" i="3" s="1"/>
  <c r="I105" i="3" s="1"/>
  <c r="I109" i="3" s="1"/>
  <c r="D55" i="7"/>
  <c r="D56" i="7" s="1"/>
  <c r="D53" i="7"/>
  <c r="D54" i="7" s="1"/>
  <c r="D57" i="7" s="1"/>
  <c r="D58" i="7" s="1"/>
  <c r="D59" i="7" s="1"/>
  <c r="D60" i="7" s="1"/>
  <c r="G79" i="4"/>
  <c r="G85" i="4" s="1"/>
  <c r="G91" i="4"/>
  <c r="I96" i="4"/>
  <c r="I102" i="4" s="1"/>
  <c r="I79" i="2"/>
  <c r="I85" i="2" s="1"/>
  <c r="I91" i="2"/>
  <c r="F79" i="4"/>
  <c r="F85" i="4" s="1"/>
  <c r="F91" i="4"/>
  <c r="C91" i="3"/>
  <c r="C79" i="3"/>
  <c r="C85" i="3" s="1"/>
  <c r="C97" i="2"/>
  <c r="C55" i="7"/>
  <c r="C56" i="7" s="1"/>
  <c r="C53" i="7"/>
  <c r="C54" i="7" s="1"/>
  <c r="F97" i="3"/>
  <c r="F103" i="3" s="1"/>
  <c r="F105" i="3" s="1"/>
  <c r="F109" i="3" s="1"/>
  <c r="H79" i="3"/>
  <c r="H85" i="3" s="1"/>
  <c r="H91" i="3"/>
  <c r="E105" i="3"/>
  <c r="E109" i="3" s="1"/>
  <c r="J79" i="4"/>
  <c r="J85" i="4" s="1"/>
  <c r="J91" i="4"/>
  <c r="G79" i="2"/>
  <c r="G85" i="2" s="1"/>
  <c r="G91" i="2"/>
  <c r="C91" i="4"/>
  <c r="C79" i="4"/>
  <c r="C85" i="4" s="1"/>
  <c r="C97" i="4" s="1"/>
  <c r="E55" i="7"/>
  <c r="E56" i="7" s="1"/>
  <c r="E53" i="7"/>
  <c r="E54" i="7" s="1"/>
  <c r="H96" i="3"/>
  <c r="H102" i="3" s="1"/>
  <c r="G105" i="3"/>
  <c r="G109" i="3" s="1"/>
  <c r="I79" i="4"/>
  <c r="I85" i="4" s="1"/>
  <c r="I91" i="4"/>
  <c r="E79" i="4"/>
  <c r="E85" i="4" s="1"/>
  <c r="E91" i="4"/>
  <c r="D79" i="4"/>
  <c r="D85" i="4" s="1"/>
  <c r="D91" i="4"/>
  <c r="E79" i="2"/>
  <c r="E85" i="2" s="1"/>
  <c r="E91" i="2"/>
  <c r="I97" i="4" l="1"/>
  <c r="I103" i="4" s="1"/>
  <c r="I105" i="4" s="1"/>
  <c r="I109" i="4" s="1"/>
  <c r="C97" i="3"/>
  <c r="J97" i="4"/>
  <c r="J103" i="4" s="1"/>
  <c r="J105" i="4" s="1"/>
  <c r="J109" i="4" s="1"/>
  <c r="H97" i="3"/>
  <c r="H103" i="3" s="1"/>
  <c r="H105" i="3" s="1"/>
  <c r="H109" i="3" s="1"/>
  <c r="E97" i="2"/>
  <c r="E103" i="2" s="1"/>
  <c r="E105" i="2" s="1"/>
  <c r="E109" i="2" s="1"/>
  <c r="I97" i="2"/>
  <c r="I103" i="2" s="1"/>
  <c r="I105" i="2" s="1"/>
  <c r="I109" i="2" s="1"/>
  <c r="E57" i="7"/>
  <c r="E58" i="7" s="1"/>
  <c r="E59" i="7" s="1"/>
  <c r="E60" i="7" s="1"/>
  <c r="G97" i="4"/>
  <c r="G103" i="4" s="1"/>
  <c r="G105" i="4" s="1"/>
  <c r="G109" i="4" s="1"/>
  <c r="C103" i="4"/>
  <c r="C105" i="4" s="1"/>
  <c r="C106" i="4"/>
  <c r="C107" i="4" s="1"/>
  <c r="C57" i="7"/>
  <c r="C58" i="7" s="1"/>
  <c r="C59" i="7" s="1"/>
  <c r="C60" i="7" s="1"/>
  <c r="C106" i="2"/>
  <c r="C107" i="2" s="1"/>
  <c r="C103" i="2"/>
  <c r="C105" i="2" s="1"/>
  <c r="C109" i="2" s="1"/>
  <c r="D97" i="4"/>
  <c r="D103" i="4" s="1"/>
  <c r="D105" i="4" s="1"/>
  <c r="D109" i="4" s="1"/>
  <c r="E97" i="4"/>
  <c r="E103" i="4" s="1"/>
  <c r="E105" i="4" s="1"/>
  <c r="E109" i="4" s="1"/>
  <c r="F97" i="4"/>
  <c r="F103" i="4" s="1"/>
  <c r="F105" i="4" s="1"/>
  <c r="F109" i="4" s="1"/>
  <c r="G97" i="2"/>
  <c r="G103" i="2" s="1"/>
  <c r="G105" i="2" s="1"/>
  <c r="G109" i="2" s="1"/>
  <c r="K110" i="2" l="1"/>
  <c r="K109" i="2"/>
  <c r="K119" i="2" s="1"/>
  <c r="K122" i="2" s="1"/>
  <c r="B18" i="6" s="1"/>
  <c r="E18" i="6" s="1"/>
  <c r="C109" i="4"/>
  <c r="C103" i="3"/>
  <c r="C105" i="3" s="1"/>
  <c r="C106" i="3"/>
  <c r="C107" i="3" s="1"/>
  <c r="C109" i="3" l="1"/>
  <c r="K110" i="4"/>
  <c r="K109" i="4"/>
  <c r="K119" i="4" s="1"/>
  <c r="K122" i="4" s="1"/>
  <c r="B19" i="6" s="1"/>
  <c r="E19" i="6" s="1"/>
  <c r="K110" i="3" l="1"/>
  <c r="K109" i="3"/>
  <c r="K119" i="3" s="1"/>
  <c r="K122" i="3" s="1"/>
  <c r="B17" i="6" s="1"/>
  <c r="B21" i="6" l="1"/>
  <c r="E17" i="6"/>
  <c r="E21" i="6"/>
</calcChain>
</file>

<file path=xl/sharedStrings.xml><?xml version="1.0" encoding="utf-8"?>
<sst xmlns="http://schemas.openxmlformats.org/spreadsheetml/2006/main" count="586" uniqueCount="324">
  <si>
    <t>FinSurf — SOTP-DCF Inputs</t>
  </si>
  <si>
    <t>Phase 2 v3 — per-Segment WACC (Damodaran β), shared D/E + tax. Column C = Reasoning.</t>
  </si>
  <si>
    <t>── Company ──</t>
  </si>
  <si>
    <t>Company</t>
  </si>
  <si>
    <t>ServiceNow, Inc.</t>
  </si>
  <si>
    <t>Ticker</t>
  </si>
  <si>
    <t>NOW</t>
  </si>
  <si>
    <t>Currency</t>
  </si>
  <si>
    <t>USD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</si>
  <si>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</si>
  <si>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</si>
  <si>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</si>
  <si>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</si>
  <si>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</si>
  <si>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</si>
  <si>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</si>
  <si>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</si>
  <si>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</si>
  <si>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</si>
  <si>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</si>
  <si>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US Treasury 10Y ~31.12.2025 ca. 4,3 %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</si>
  <si>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</si>
  <si>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</si>
  <si>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</si>
  <si>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</si>
  <si>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</si>
  <si>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</si>
  <si>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</si>
  <si>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</si>
  <si>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</si>
  <si>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</si>
  <si>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63 % US (0 %), 26 % EMEA Westeuropa (0 %), 12 % APAC (0 %) — sämtliche Märkte ohne Material-CRP; gewichteter CRP ~0 %.</t>
  </si>
  <si>
    <t>Specific Risk Premium</t>
  </si>
  <si>
    <t>DOJ-Untersuchung zu Government-Contracts (Note 18) ist ein laufendes Rechtsrisiko — dieses wird NICHT in den SRP eingepreist (SRP-Scope: nur strukturelle/permanente Kapitalkosten-Risiken). SRP 0,5 % für leichte Key-Person-Konzentration (CEO McDermott als Strategie-Treiber) und hohe Dual-Class-ähnliche Abhängigkeit von Führungsteam in einem hochbewerteten Wachstumsnamen. Kein Governance/Dual-Class-Problem (Standard Delaware-Struktur), Basis: concentration.</t>
  </si>
  <si>
    <t>Cost of Equity Group [calc, ≥ Kd + Nachrang-Spread]</t>
  </si>
  <si>
    <t>Cost of Debt pre-tax (Kd)</t>
  </si>
  <si>
    <t>2030 Notes: 1,40 % Kupon (Fixed Rate), effektiver Zinssatz 1,53 %. Sehr günstiges Legacy-Debt, kaum relevanter Beitrag zum WACC wegen minimaler Verschuldung. [Kd-FLOOR: auf Rf+IG-Spread angehoben]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</si>
  <si>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</si>
  <si>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</si>
  <si>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</si>
  <si>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</si>
  <si>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</si>
  <si>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</si>
  <si>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</si>
  <si>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</si>
  <si>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</si>
  <si>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(Marktdurchschnitt)</t>
  </si>
  <si>
    <t>Stable-Phase = Durchschnittsfirma (β→1 ⇒ auch Ø-Leverage) — Writer (wacc_market_params.terminal_debt_weight)</t>
  </si>
  <si>
    <t>Terminal Kd pre-tax (Rf + Ø-IG-Spread)</t>
  </si>
  <si>
    <t>Rf(Whg) + Ø-IG-Spread — Writer (wacc_market_params.terminal_kd_ig_spread)</t>
  </si>
  <si>
    <t>Terminal Kd after-tax [calc]</t>
  </si>
  <si>
    <t>SOTP DCF [Base] — Segment-Level Forecast + Group-Aggregation</t>
  </si>
  <si>
    <t>Yellow = Inputs. Orange = Reasoning (Writer befüllt nach Review-Call). Blue = computed. Green = output.</t>
  </si>
  <si>
    <t>ServiceNow Platform</t>
  </si>
  <si>
    <t>Segment 2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</si>
  <si>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</si>
  <si>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</si>
  <si>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</si>
  <si>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</si>
  <si>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</si>
  <si>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</si>
  <si>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</si>
  <si>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</si>
  <si>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</si>
  <si>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</si>
  <si>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</si>
  <si>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</si>
  <si>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</si>
  <si>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</si>
  <si>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</si>
  <si>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</si>
  <si>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</si>
  <si>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</si>
  <si>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</si>
  <si>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</si>
  <si>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</si>
  <si>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</si>
  <si>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Demonstrierte 2J-CAGR (2023-2025): ($13.278/$8.971)^0.5 − 1 = 21,7 % (abgelesen). cRPO $13,0 Mrd. wuchs 25 % YoY → impliziert ~21 % Subscription-Revenue-Growth für nächste 12 Monate. Gesamtes RPO $28,2 Mrd. deckt fast den gesamten Jahresumsatz ab — sehr hohe Visibilität. Management: 'Subscription revenues 2026 to increase in absolute dollars and remain relatively flat as a percentage of revenue.' Now Assist ACV $600 Mio. 2025, Ziel $1 Mrd. 2026 (implizit +67 %); CRM/Industry-Workflows 'fastes...</t>
  </si>
  <si>
    <t>Margin-Reasoning (Review-Call-Audit)</t>
  </si>
  <si>
    <t>GAAP-EBIT-Marge 2025: $1.824/$13.278 = 13,74 % (voll belastet inkl. SBC $1.955 Mio. = 14,7 % des Umsatzes). Y1-Ansatz 15,3 % auf EBITA-Basis: GAAP reported 13,7 % + Amortisation akquirierter Intangibles ~$200 Mio. (~1,5 pp) herausgerechnet (Moveworks Dez 2025 + ältere Akquisitionen; Intangible-Assets $1.121 Mio. netto per Ende 2025, PP&amp;E-Depreciation $508 Mio. von gesamt D&amp;A $738 Mio. → Intangible-Amortisation ~$230 Mio., davon geschätzt ~$200 Mio. aus akquirierten Intangibles; verbleibend ~$...</t>
  </si>
  <si>
    <t>Multiple-Gate (implied vs Sektor-Ceiling)</t>
  </si>
  <si>
    <t>ok: EV/EBITDA 40.9x &lt;= 2.2x x Median 22.8x (tech_software)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</si>
  <si>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</si>
  <si>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</si>
  <si>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</si>
  <si>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</si>
  <si>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</si>
  <si>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</si>
  <si>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</si>
  <si>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</si>
  <si>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</si>
  <si>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</si>
  <si>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</si>
  <si>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</si>
  <si>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</si>
  <si>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</si>
  <si>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</si>
  <si>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</si>
  <si>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</si>
  <si>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</si>
  <si>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</si>
  <si>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</si>
  <si>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</si>
  <si>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</si>
  <si>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</si>
  <si>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</si>
  <si>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</si>
  <si>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</si>
  <si>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</si>
  <si>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</si>
  <si>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</si>
  <si>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</si>
  <si>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</si>
  <si>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</si>
  <si>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</si>
  <si>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</si>
  <si>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</si>
  <si>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</si>
  <si>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</si>
  <si>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</si>
  <si>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</si>
  <si>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</si>
  <si>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</si>
  <si>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</si>
  <si>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</si>
  <si>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</si>
  <si>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</si>
  <si>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</si>
  <si>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</si>
  <si>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</si>
  <si>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</si>
  <si>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</si>
  <si>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</si>
  <si>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</si>
  <si>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</si>
  <si>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</si>
  <si>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</si>
  <si>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</si>
  <si>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</si>
  <si>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</si>
  <si>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</si>
  <si>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</si>
  <si>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</si>
  <si>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</si>
  <si>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</si>
  <si>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</si>
  <si>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</si>
  <si>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</si>
  <si>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</si>
  <si>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</si>
  <si>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</si>
  <si>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</si>
  <si>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</si>
  <si>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</si>
  <si>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</si>
  <si>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</si>
  <si>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</si>
  <si>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</si>
  <si>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</si>
  <si>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</si>
  <si>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</si>
  <si>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</si>
  <si>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</si>
  <si>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</si>
  <si>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</si>
  <si>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</si>
  <si>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</si>
  <si>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</si>
  <si>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</si>
  <si>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</si>
  <si>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</si>
  <si>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</si>
  <si>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</si>
  <si>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</si>
  <si>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</si>
  <si>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</si>
  <si>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</si>
  <si>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</si>
  <si>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</si>
  <si>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</si>
  <si>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</si>
  <si>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DOJ Government Contracts Investigation</t>
  </si>
  <si>
    <t>Note 18: DOJ-Untersuchung zu Government-Contracts-Compliance (initiiert durch interne Untersuchung). Potenzielle Strafen, Vertragsauflösungen, Debarment-Risiko. Geschätzter Schaden im Mittelfall $500-700 Mio. (Bußgelder + entgangene Contracts); EV-Effekt -$1.125 Mrd. × 40 % Eintrittswahrscheinlichkeit = -$450 Mio. erwartet.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</si>
  <si>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</si>
  <si>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</si>
  <si>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</si>
  <si>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</si>
  <si>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</si>
  <si>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</si>
  <si>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</si>
  <si>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</si>
  <si>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</si>
  <si>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</si>
  <si>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</si>
  <si>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</si>
  <si>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</si>
  <si>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</si>
  <si>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</si>
  <si>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</si>
  <si>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</si>
  <si>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</si>
  <si>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</si>
  <si>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</si>
  <si>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</si>
  <si>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</si>
  <si>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</si>
  <si>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</si>
  <si>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</si>
  <si>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</si>
  <si>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</si>
  <si>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</si>
  <si>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</si>
  <si>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</si>
  <si>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</si>
  <si>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</si>
  <si>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</si>
  <si>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very_positive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</si>
  <si>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</si>
  <si>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</si>
  <si>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</si>
  <si>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</si>
  <si>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</si>
  <si>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</si>
  <si>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nein — fair bewertet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</si>
  <si>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</si>
  <si>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</si>
  <si>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</si>
  <si>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</si>
  <si>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</si>
  <si>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</si>
  <si>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</si>
  <si>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</si>
  <si>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</si>
  <si>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</si>
  <si>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</si>
  <si>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</si>
  <si>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</si>
  <si>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</si>
  <si>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</si>
  <si>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</si>
  <si>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</si>
  <si>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</si>
  <si>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</si>
  <si>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</si>
  <si>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</si>
  <si>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</si>
  <si>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</si>
  <si>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</si>
  <si>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</si>
  <si>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</si>
  <si>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</si>
  <si>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</si>
  <si>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</si>
  <si>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</si>
  <si>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</si>
  <si>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</si>
  <si>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</si>
  <si>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</si>
  <si>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</si>
  <si>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</si>
  <si>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</si>
  <si>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</si>
  <si>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</si>
  <si>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</si>
  <si>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</si>
  <si>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</si>
  <si>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</si>
  <si>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</si>
  <si>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</si>
  <si>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</si>
  <si>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</si>
  <si>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</si>
  <si>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</si>
  <si>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</si>
  <si>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</si>
  <si>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</si>
  <si>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</si>
  <si>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</si>
  <si>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</si>
  <si>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</si>
  <si>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</si>
  <si>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</si>
  <si>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</si>
  <si>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</si>
  <si>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diskontiert ggü. unseren Annahmen</t>
  </si>
  <si>
    <t>Einordnung</t>
  </si>
  <si>
    <t>Der Markt zahlt heute rund 33.7x EV/EBITDA (trailing). Unser Kursziel entspricht rund 41.0x auf dem heutigen EBITDA (gleiche Basis, direkt mit der eigenen Historie vergleichbar). Das Markt-Niveau liegt im unteren Bereich der eigenen 5J-Spanne (52.0x bis 107.9x). Der Markt diskontiert rund 22% gegenüber unseren Annahmen (er ist pessimistischer als unser Modell). Auf unserer Ergebnisschätzung für das kommende Jahr (t+1) entspricht das Kursziel rund 39.6x, der Markt 32.5x (anderer Nenner, nicht mit der Historie vergleichbar). Die Peer-Gruppe handelt bei 11.9–20.5x (Median 12.3x,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</si>
  <si>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</si>
  <si>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</si>
  <si>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</si>
  <si>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</si>
  <si>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</si>
  <si>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</si>
  <si>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</si>
  <si>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</si>
  <si>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CRM</t>
  </si>
  <si>
    <t>SAP.DE</t>
  </si>
  <si>
    <t>ORCL</t>
  </si>
  <si>
    <t>INTU</t>
  </si>
  <si>
    <t>WDAY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</si>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</sst>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/>
  </sheetViews>
  <sheetFormatPr baseColWidth="10" defaultColWidth="9.140625" defaultRowHeight="15" x14ac:dyDescent="0.25"/>
  <cols>
    <col min="1" max="1" width="32" customWidth="1"/>
    <col min="2" max="2" width="18" customWidth="1"/>
    <col min="3" max="3" width="60" customWidth="1"/>
  </cols>
  <sheetData>
    <row r="1" spans="1:2" ht="18.75" customHeight="1" x14ac:dyDescent="0.3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8" spans="1:2" x14ac:dyDescent="0.25">
      <c r="A8" s="4" t="s">
        <v>9</v>
      </c>
      <c r="B8" t="s">
        <v>10</v>
      </c>
    </row>
    <row r="10" spans="1:2" x14ac:dyDescent="0.25">
      <c r="A10" s="3" t="s">
        <v>11</v>
      </c>
    </row>
    <row r="11" spans="1:2" x14ac:dyDescent="0.25">
      <c r="A11" s="4" t="s">
        <v>12</v>
      </c>
      <c r="B11" s="5">
        <v>1047.3</v>
      </c>
    </row>
    <row r="12" spans="1:2" x14ac:dyDescent="0.25">
      <c r="A12" s="4" t="s">
        <v>13</v>
      </c>
      <c r="B12" s="5">
        <v>10055</v>
      </c>
    </row>
    <row r="13" spans="1:2" x14ac:dyDescent="0.25">
      <c r="A13" s="4" t="s">
        <v>14</v>
      </c>
      <c r="B13" s="5">
        <v>1491</v>
      </c>
    </row>
    <row r="14" spans="1:2" x14ac:dyDescent="0.25">
      <c r="A14" s="4" t="s">
        <v>15</v>
      </c>
      <c r="B14" s="6">
        <f>B13-B12</f>
        <v>-8564</v>
      </c>
    </row>
    <row r="15" spans="1:2" x14ac:dyDescent="0.25">
      <c r="A15" s="4" t="s">
        <v>16</v>
      </c>
      <c r="B15" s="5">
        <v>0</v>
      </c>
    </row>
    <row r="17" spans="1:3" x14ac:dyDescent="0.25">
      <c r="A17" s="3" t="s">
        <v>17</v>
      </c>
      <c r="C17" s="2" t="s">
        <v>18</v>
      </c>
    </row>
    <row r="18" spans="1:3" x14ac:dyDescent="0.25">
      <c r="A18" s="4" t="s">
        <v>19</v>
      </c>
      <c r="B18" s="7">
        <v>4.4499999999999998E-2</v>
      </c>
      <c r="C18" s="8" t="s">
        <v>20</v>
      </c>
    </row>
    <row r="19" spans="1:3" x14ac:dyDescent="0.25">
      <c r="A19" s="4" t="s">
        <v>21</v>
      </c>
      <c r="B19" s="7">
        <v>4.31022E-2</v>
      </c>
      <c r="C19" s="8" t="s">
        <v>22</v>
      </c>
    </row>
    <row r="20" spans="1:3" x14ac:dyDescent="0.25">
      <c r="A20" s="4" t="s">
        <v>23</v>
      </c>
      <c r="B20" s="9">
        <v>1.091</v>
      </c>
      <c r="C20" s="8" t="s">
        <v>24</v>
      </c>
    </row>
    <row r="21" spans="1:3" x14ac:dyDescent="0.25">
      <c r="A21" s="4" t="s">
        <v>25</v>
      </c>
      <c r="B21" s="9">
        <v>1.6E-2</v>
      </c>
      <c r="C21" s="8" t="s">
        <v>26</v>
      </c>
    </row>
    <row r="22" spans="1:3" x14ac:dyDescent="0.25">
      <c r="A22" s="4" t="s">
        <v>27</v>
      </c>
      <c r="B22" s="7">
        <v>0.23</v>
      </c>
      <c r="C22" s="8" t="s">
        <v>28</v>
      </c>
    </row>
    <row r="23" spans="1:3" x14ac:dyDescent="0.25">
      <c r="A23" s="4" t="s">
        <v>29</v>
      </c>
      <c r="B23" s="10">
        <f>(1-0.33)*(B20*(1+(1-B22)*B21))+0.33</f>
        <v>1.0699755504000001</v>
      </c>
    </row>
    <row r="24" spans="1:3" x14ac:dyDescent="0.25">
      <c r="A24" s="4" t="s">
        <v>30</v>
      </c>
      <c r="B24" s="7">
        <v>0</v>
      </c>
      <c r="C24" s="8" t="s">
        <v>31</v>
      </c>
    </row>
    <row r="25" spans="1:3" x14ac:dyDescent="0.25">
      <c r="A25" s="4" t="s">
        <v>32</v>
      </c>
      <c r="B25" s="7">
        <v>5.0000000000000001E-3</v>
      </c>
      <c r="C25" s="8" t="s">
        <v>33</v>
      </c>
    </row>
    <row r="26" spans="1:3" x14ac:dyDescent="0.25">
      <c r="A26" s="4" t="s">
        <v>34</v>
      </c>
      <c r="B26" s="11">
        <f>MAX(B18+B23*B19+B24+B25,MIN(B27,0.08)+0.025)</f>
        <v>9.5618300168450882E-2</v>
      </c>
    </row>
    <row r="27" spans="1:3" x14ac:dyDescent="0.25">
      <c r="A27" s="4" t="s">
        <v>35</v>
      </c>
      <c r="B27" s="7">
        <v>5.2499999999999998E-2</v>
      </c>
      <c r="C27" s="8" t="s">
        <v>36</v>
      </c>
    </row>
    <row r="28" spans="1:3" x14ac:dyDescent="0.25">
      <c r="A28" s="4" t="s">
        <v>37</v>
      </c>
      <c r="B28" s="11">
        <f>B27*(1-B22)</f>
        <v>4.0425000000000003E-2</v>
      </c>
    </row>
    <row r="29" spans="1:3" x14ac:dyDescent="0.25">
      <c r="A29" s="4" t="s">
        <v>38</v>
      </c>
      <c r="B29" s="11">
        <f>1/(1+B21)</f>
        <v>0.98425196850393704</v>
      </c>
    </row>
    <row r="30" spans="1:3" x14ac:dyDescent="0.25">
      <c r="A30" s="4" t="s">
        <v>39</v>
      </c>
      <c r="B30" s="11">
        <f>B21/(1+B21)</f>
        <v>1.5748031496062992E-2</v>
      </c>
    </row>
    <row r="31" spans="1:3" x14ac:dyDescent="0.25">
      <c r="A31" s="4" t="s">
        <v>40</v>
      </c>
      <c r="B31" s="12">
        <f>MAX(B26*B29+B28*B30,B35)</f>
        <v>9.4749114339026455E-2</v>
      </c>
    </row>
    <row r="32" spans="1:3" x14ac:dyDescent="0.25">
      <c r="A32" s="3" t="s">
        <v>41</v>
      </c>
    </row>
    <row r="33" spans="1:3" x14ac:dyDescent="0.25">
      <c r="A33" s="4" t="s">
        <v>42</v>
      </c>
      <c r="B33" s="7">
        <v>0.02</v>
      </c>
    </row>
    <row r="34" spans="1:3" x14ac:dyDescent="0.25">
      <c r="A34" s="4" t="s">
        <v>43</v>
      </c>
      <c r="B34" s="7">
        <v>0.01</v>
      </c>
    </row>
    <row r="35" spans="1:3" x14ac:dyDescent="0.25">
      <c r="A35" s="4" t="s">
        <v>44</v>
      </c>
      <c r="B35" s="7">
        <v>7.8799999999999995E-2</v>
      </c>
      <c r="C35" s="8" t="s">
        <v>45</v>
      </c>
    </row>
    <row r="36" spans="1:3" x14ac:dyDescent="0.25">
      <c r="A36" s="4" t="s">
        <v>46</v>
      </c>
      <c r="B36" s="7">
        <v>0.2</v>
      </c>
      <c r="C36" s="8" t="s">
        <v>47</v>
      </c>
    </row>
    <row r="37" spans="1:3" x14ac:dyDescent="0.25">
      <c r="A37" s="4" t="s">
        <v>48</v>
      </c>
      <c r="B37" s="7">
        <v>5.6499999999999988E-2</v>
      </c>
      <c r="C37" s="8" t="s">
        <v>49</v>
      </c>
    </row>
    <row r="38" spans="1:3" x14ac:dyDescent="0.25">
      <c r="A38" s="4" t="s">
        <v>50</v>
      </c>
      <c r="B38" s="11">
        <f>B37*(1-B22)</f>
        <v>4.3504999999999988E-2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51</v>
      </c>
    </row>
    <row r="2" spans="1:11" x14ac:dyDescent="0.25">
      <c r="A2" s="2" t="s">
        <v>52</v>
      </c>
    </row>
    <row r="3" spans="1:11" x14ac:dyDescent="0.25">
      <c r="C3" s="13" t="s">
        <v>53</v>
      </c>
      <c r="D3" s="13" t="s">
        <v>54</v>
      </c>
      <c r="E3" s="13" t="s">
        <v>55</v>
      </c>
      <c r="F3" s="13" t="s">
        <v>56</v>
      </c>
      <c r="G3" s="13" t="s">
        <v>57</v>
      </c>
      <c r="H3" s="13" t="s">
        <v>58</v>
      </c>
      <c r="I3" s="13" t="s">
        <v>59</v>
      </c>
      <c r="J3" s="13" t="s">
        <v>60</v>
      </c>
      <c r="K3" s="13" t="s">
        <v>61</v>
      </c>
    </row>
    <row r="4" spans="1:11" x14ac:dyDescent="0.25">
      <c r="A4" s="4" t="s">
        <v>62</v>
      </c>
      <c r="C4" s="14" t="s">
        <v>53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63</v>
      </c>
      <c r="C5" s="5">
        <v>13278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64</v>
      </c>
      <c r="C6" s="7">
        <v>0.21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65</v>
      </c>
      <c r="C7" s="7">
        <v>0.153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66</v>
      </c>
      <c r="C8" s="15">
        <v>0.13700000000000001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67</v>
      </c>
      <c r="C9" s="7">
        <v>0.21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68</v>
      </c>
      <c r="C10" s="7">
        <v>6.9000000000000006E-2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69</v>
      </c>
      <c r="C11" s="7">
        <v>5.6000000000000001E-2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70</v>
      </c>
      <c r="C12" s="7">
        <v>1.2999999999999999E-2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71</v>
      </c>
      <c r="C13" s="7">
        <v>3.5000000000000003E-2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72</v>
      </c>
      <c r="C14" s="9">
        <v>1.091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73</v>
      </c>
      <c r="C15" s="7">
        <v>7.8799999999999995E-2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74</v>
      </c>
      <c r="C16" s="11">
        <f>MAX((MAX(Inputs!B18+((1-0.33)*C14*(1+(1-Inputs!B22)*Inputs!B21)+0.33)*Inputs!B19+IF(ISBLANK(C17),Inputs!B24,C17)+Inputs!B25,MIN(Inputs!B27,0.08)+0.025))*Inputs!B29+Inputs!B28*Inputs!B30,C15)</f>
        <v>9.4749114339026455E-2</v>
      </c>
      <c r="D16" s="11">
        <f>MAX((MAX(Inputs!B18+((1-0.33)*D14*(1+(1-Inputs!B22)*Inputs!B21)+0.33)*Inputs!B19+IF(ISBLANK(D17),Inputs!B24,D17)+Inputs!B25,MIN(Inputs!B27,0.08)+0.025))*Inputs!B29+Inputs!B28*Inputs!B30,D15)</f>
        <v>7.6916141732283463E-2</v>
      </c>
      <c r="E16" s="11">
        <f>MAX((MAX(Inputs!B18+((1-0.33)*E14*(1+(1-Inputs!B22)*Inputs!B21)+0.33)*Inputs!B19+IF(ISBLANK(E17),Inputs!B24,E17)+Inputs!B25,MIN(Inputs!B27,0.08)+0.025))*Inputs!B29+Inputs!B28*Inputs!B30,E15)</f>
        <v>7.6916141732283463E-2</v>
      </c>
      <c r="F16" s="11">
        <f>MAX((MAX(Inputs!B18+((1-0.33)*F14*(1+(1-Inputs!B22)*Inputs!B21)+0.33)*Inputs!B19+IF(ISBLANK(F17),Inputs!B24,F17)+Inputs!B25,MIN(Inputs!B27,0.08)+0.025))*Inputs!B29+Inputs!B28*Inputs!B30,F15)</f>
        <v>7.6916141732283463E-2</v>
      </c>
      <c r="G16" s="11">
        <f>MAX((MAX(Inputs!B18+((1-0.33)*G14*(1+(1-Inputs!B22)*Inputs!B21)+0.33)*Inputs!B19+IF(ISBLANK(G17),Inputs!B24,G17)+Inputs!B25,MIN(Inputs!B27,0.08)+0.025))*Inputs!B29+Inputs!B28*Inputs!B30,G15)</f>
        <v>7.6916141732283463E-2</v>
      </c>
      <c r="H16" s="11">
        <f>MAX((MAX(Inputs!B18+((1-0.33)*H14*(1+(1-Inputs!B22)*Inputs!B21)+0.33)*Inputs!B19+IF(ISBLANK(H17),Inputs!B24,H17)+Inputs!B25,MIN(Inputs!B27,0.08)+0.025))*Inputs!B29+Inputs!B28*Inputs!B30,H15)</f>
        <v>7.6916141732283463E-2</v>
      </c>
      <c r="I16" s="11">
        <f>MAX((MAX(Inputs!B18+((1-0.33)*I14*(1+(1-Inputs!B22)*Inputs!B21)+0.33)*Inputs!B19+IF(ISBLANK(I17),Inputs!B24,I17)+Inputs!B25,MIN(Inputs!B27,0.08)+0.025))*Inputs!B29+Inputs!B28*Inputs!B30,I15)</f>
        <v>7.6916141732283463E-2</v>
      </c>
      <c r="J16" s="11">
        <f>MAX((MAX(Inputs!B18+((1-0.33)*J14*(1+(1-Inputs!B22)*Inputs!B21)+0.33)*Inputs!B19+IF(ISBLANK(J17),Inputs!B24,J17)+Inputs!B25,MIN(Inputs!B27,0.08)+0.025))*Inputs!B29+Inputs!B28*Inputs!B30,J15)</f>
        <v>7.6916141732283463E-2</v>
      </c>
    </row>
    <row r="17" spans="1:10" x14ac:dyDescent="0.25">
      <c r="A17" s="16" t="s">
        <v>75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76</v>
      </c>
      <c r="C18" s="18" t="s">
        <v>77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78</v>
      </c>
      <c r="C19" s="18" t="s">
        <v>79</v>
      </c>
      <c r="D19" s="18"/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80</v>
      </c>
      <c r="C20" s="18" t="s">
        <v>81</v>
      </c>
      <c r="D20" s="18"/>
      <c r="E20" s="18"/>
      <c r="F20" s="18"/>
      <c r="G20" s="18"/>
      <c r="H20" s="18"/>
      <c r="I20" s="18"/>
      <c r="J20" s="18"/>
    </row>
    <row r="21" spans="1:10" x14ac:dyDescent="0.25">
      <c r="A21" s="4" t="s">
        <v>82</v>
      </c>
      <c r="C21" s="6">
        <f t="shared" ref="C21:J21" si="0">C5*(1+C6)^1</f>
        <v>16066.38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83</v>
      </c>
      <c r="C22" s="6">
        <f t="shared" ref="C22:J22" si="1">C5*(1+C6)^2</f>
        <v>19440.319800000001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84</v>
      </c>
      <c r="C23" s="6">
        <f t="shared" ref="C23:J23" si="2">C5*(1+C6)^3</f>
        <v>23522.786958000001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85</v>
      </c>
      <c r="C24" s="6">
        <f t="shared" ref="C24:J24" si="3">C5*(1+C6)^4</f>
        <v>28462.572219179998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86</v>
      </c>
      <c r="C25" s="6">
        <f t="shared" ref="C25:J25" si="4">C5*(1+C6)^5</f>
        <v>34439.712385207793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87</v>
      </c>
      <c r="C26" s="7">
        <v>8.0000000000000002E-3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88</v>
      </c>
      <c r="C27" s="11">
        <f t="shared" ref="C27:J27" si="5">IF(ISBLANK(C9),C7,C7+(C9-C7)*(0)/4)</f>
        <v>0.153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89</v>
      </c>
      <c r="C28" s="11">
        <f t="shared" ref="C28:J28" si="6">IF(ISBLANK(C9),C7,C7+(C9-C7)*(1)/4)</f>
        <v>0.16725000000000001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90</v>
      </c>
      <c r="C29" s="11">
        <f t="shared" ref="C29:J29" si="7">IF(ISBLANK(C9),C7,C7+(C9-C7)*(2)/4)</f>
        <v>0.18149999999999999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91</v>
      </c>
      <c r="C30" s="11">
        <f t="shared" ref="C30:J30" si="8">IF(ISBLANK(C9),C7,C7+(C9-C7)*(3)/4)</f>
        <v>0.19574999999999998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92</v>
      </c>
      <c r="C31" s="11">
        <f t="shared" ref="C31:J31" si="9">IF(ISBLANK(C9),C7,C7+(C9-C7)*(4)/4)</f>
        <v>0.21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93</v>
      </c>
      <c r="C33" s="6">
        <f t="shared" ref="C33:J37" si="10">C21*C27</f>
        <v>2458.1561400000001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94</v>
      </c>
      <c r="C34" s="6">
        <f t="shared" si="10"/>
        <v>3251.3934865500005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95</v>
      </c>
      <c r="C35" s="6">
        <f t="shared" si="10"/>
        <v>4269.3858328770002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96</v>
      </c>
      <c r="C36" s="6">
        <f t="shared" si="10"/>
        <v>5571.5485119044843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97</v>
      </c>
      <c r="C37" s="6">
        <f t="shared" si="10"/>
        <v>7232.3396008936361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98</v>
      </c>
      <c r="C39" s="6">
        <f>C33*(1-Inputs!B22)</f>
        <v>1892.7802278000001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99</v>
      </c>
      <c r="C40" s="6">
        <f>C34*(1-Inputs!B22)</f>
        <v>2503.5729846435006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100</v>
      </c>
      <c r="C41" s="6">
        <f>C35*(1-Inputs!B22)</f>
        <v>3287.4270913152905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101</v>
      </c>
      <c r="C42" s="6">
        <f>C36*(1-Inputs!B22)</f>
        <v>4290.0923541664533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102</v>
      </c>
      <c r="C43" s="6">
        <f>C37*(1-Inputs!B22)</f>
        <v>5568.9014926881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103</v>
      </c>
      <c r="C45" s="6">
        <f t="shared" ref="C45:J45" si="11">C21*IF(ISBLANK(C26),C12,C12+(C26-C12)*(0)/4)</f>
        <v>208.86293999999998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104</v>
      </c>
      <c r="C46" s="6">
        <f t="shared" ref="C46:J46" si="12">C22*IF(ISBLANK(C26),C12,C12+(C26-C12)*(1)/4)</f>
        <v>228.42375765000003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105</v>
      </c>
      <c r="C47" s="6">
        <f t="shared" ref="C47:J47" si="13">C23*IF(ISBLANK(C26),C12,C12+(C26-C12)*(2)/4)</f>
        <v>246.98926305899997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106</v>
      </c>
      <c r="C48" s="6">
        <f t="shared" ref="C48:J48" si="14">C24*IF(ISBLANK(C26),C12,C12+(C26-C12)*(3)/4)</f>
        <v>263.27879302741496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107</v>
      </c>
      <c r="C49" s="6">
        <f t="shared" ref="C49:J49" si="15">C25*IF(ISBLANK(C26),C12,C12+(C26-C12)*(4)/4)</f>
        <v>275.51769908166233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108</v>
      </c>
      <c r="C51" s="6">
        <f t="shared" ref="C51:J55" si="16">C39-C45</f>
        <v>1683.9172878000002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109</v>
      </c>
      <c r="C52" s="6">
        <f t="shared" si="16"/>
        <v>2275.1492269935006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110</v>
      </c>
      <c r="C53" s="6">
        <f t="shared" si="16"/>
        <v>3040.4378282562907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111</v>
      </c>
      <c r="C54" s="6">
        <f t="shared" si="16"/>
        <v>4026.8135611390385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112</v>
      </c>
      <c r="C55" s="6">
        <f t="shared" si="16"/>
        <v>5293.3837936064374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113</v>
      </c>
      <c r="C57" s="6">
        <f t="shared" ref="C57:J57" si="17">C51/((1+C16))</f>
        <v>1538.1764330695021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114</v>
      </c>
      <c r="C58" s="6">
        <f t="shared" ref="C58:J58" si="18">C52/((1+C16)*(1+C16+(C104-C16)*1/5))</f>
        <v>1902.5284004734549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115</v>
      </c>
      <c r="C59" s="6">
        <f t="shared" ref="C59:J59" si="19">C53/((1+C16)*(1+C16+(C104-C16)*1/5)*(1+C16+(C104-C16)*2/5))</f>
        <v>2332.6297121917064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116</v>
      </c>
      <c r="C60" s="6">
        <f t="shared" ref="C60:J60" si="20">C54/((1+C16)*(1+C16+(C104-C16)*1/5)*(1+C16+(C104-C16)*2/5)*(1+C16+(C104-C16)*3/5))</f>
        <v>2840.6273094671442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117</v>
      </c>
      <c r="C61" s="6">
        <f t="shared" ref="C61:J61" si="21">C55/((1+C16)*(1+C16+(C104-C16)*1/5)*(1+C16+(C104-C16)*2/5)*(1+C16+(C104-C16)*3/5)*(1+C16+(C104-C16)*4/5))</f>
        <v>3441.0099329146501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118</v>
      </c>
    </row>
    <row r="63" spans="1:10" x14ac:dyDescent="0.25">
      <c r="A63" s="4" t="s">
        <v>119</v>
      </c>
      <c r="C63" s="6">
        <f t="shared" ref="C63:J63" si="22">C25*(1+(C6+(C13-C6)*1/5))</f>
        <v>40466.662052619162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120</v>
      </c>
      <c r="C64" s="6">
        <f t="shared" ref="C64:J64" si="23">C63*(1+(C6+(C13-C6)*2/5))</f>
        <v>46131.99473998585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121</v>
      </c>
      <c r="C65" s="6">
        <f t="shared" ref="C65:J65" si="24">C64*(1+(C6+(C13-C6)*3/5))</f>
        <v>50975.854187684366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122</v>
      </c>
      <c r="C66" s="6">
        <f t="shared" ref="C66:J66" si="25">C65*(1+(C6+(C13-C6)*4/5))</f>
        <v>54544.163980822275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123</v>
      </c>
      <c r="C67" s="6">
        <f t="shared" ref="C67:J67" si="26">C66*(1+(C6+(C13-C6)*5/5))</f>
        <v>56453.209720151048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124</v>
      </c>
      <c r="C69" s="11">
        <f t="shared" ref="C69:J69" si="27">IF(ISBLANK(C9),C7,C9)</f>
        <v>0.21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125</v>
      </c>
      <c r="C70" s="11">
        <f t="shared" ref="C70:J70" si="28">IF(ISBLANK(C9),C7,C9)</f>
        <v>0.21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126</v>
      </c>
      <c r="C71" s="11">
        <f t="shared" ref="C71:J71" si="29">IF(ISBLANK(C9),C7,C9)</f>
        <v>0.21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127</v>
      </c>
      <c r="C72" s="11">
        <f t="shared" ref="C72:J72" si="30">IF(ISBLANK(C9),C7,C9)</f>
        <v>0.21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128</v>
      </c>
      <c r="C73" s="11">
        <f t="shared" ref="C73:J73" si="31">IF(ISBLANK(C9),C7,C9)</f>
        <v>0.21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129</v>
      </c>
      <c r="C75" s="6">
        <f t="shared" ref="C75:J79" si="32">C63*C69</f>
        <v>8497.9990310500234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130</v>
      </c>
      <c r="C76" s="6">
        <f t="shared" si="32"/>
        <v>9687.718895397029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131</v>
      </c>
      <c r="C77" s="6">
        <f t="shared" si="32"/>
        <v>10704.929379413717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132</v>
      </c>
      <c r="C78" s="6">
        <f t="shared" si="32"/>
        <v>11454.274435972677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133</v>
      </c>
      <c r="C79" s="6">
        <f t="shared" si="32"/>
        <v>11855.174041231719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134</v>
      </c>
      <c r="C81" s="6">
        <f>C75*(1-Inputs!B22)</f>
        <v>6543.4592539085179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135</v>
      </c>
      <c r="C82" s="6">
        <f>C76*(1-Inputs!B22)</f>
        <v>7459.5435494557123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136</v>
      </c>
      <c r="C83" s="6">
        <f>C77*(1-Inputs!B22)</f>
        <v>8242.795622148562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137</v>
      </c>
      <c r="C84" s="6">
        <f>C78*(1-Inputs!B22)</f>
        <v>8819.7913156989616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138</v>
      </c>
      <c r="C85" s="6">
        <f>C79*(1-Inputs!B22)</f>
        <v>9128.4840117484237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139</v>
      </c>
      <c r="C87" s="6">
        <f t="shared" ref="C87:J87" si="33">C63*MAX(IF(ISBLANK(C26),C12,C26),0)</f>
        <v>323.73329642095331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140</v>
      </c>
      <c r="C88" s="6">
        <f t="shared" ref="C88:J88" si="34">C64*MAX(IF(ISBLANK(C26),C12,C26),0)</f>
        <v>369.05595791988679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141</v>
      </c>
      <c r="C89" s="6">
        <f t="shared" ref="C89:J89" si="35">C65*MAX(IF(ISBLANK(C26),C12,C26),0)</f>
        <v>407.80683350147496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142</v>
      </c>
      <c r="C90" s="6">
        <f t="shared" ref="C90:J90" si="36">C66*MAX(IF(ISBLANK(C26),C12,C26),0)</f>
        <v>436.35331184657821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143</v>
      </c>
      <c r="C91" s="6">
        <f t="shared" ref="C91:J91" si="37">C67*MAX(IF(ISBLANK(C26),C12,C26),0)</f>
        <v>451.62567776120841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144</v>
      </c>
      <c r="C93" s="6">
        <f t="shared" ref="C93:J97" si="38">C81-C87</f>
        <v>6219.7259574875643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145</v>
      </c>
      <c r="C94" s="6">
        <f t="shared" si="38"/>
        <v>7090.4875915358252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146</v>
      </c>
      <c r="C95" s="6">
        <f t="shared" si="38"/>
        <v>7834.9887886470869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147</v>
      </c>
      <c r="C96" s="6">
        <f t="shared" si="38"/>
        <v>8383.4380038523832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148</v>
      </c>
      <c r="C97" s="6">
        <f t="shared" si="38"/>
        <v>8676.8583339872148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149</v>
      </c>
      <c r="C99" s="6">
        <f t="shared" ref="C99:J99" si="39">C93/(((1+C16)*(1+C16+(C104-C16)*1/5)*(1+C16+(C104-C16)*2/5)*(1+C16+(C104-C16)*3/5)*(1+C16+(C104-C16)*4/5))*(1+C104)^1)</f>
        <v>3734.0700466774283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150</v>
      </c>
      <c r="C100" s="6">
        <f t="shared" ref="C100:J100" si="40">C94/(((1+C16)*(1+C16+(C104-C16)*1/5)*(1+C16+(C104-C16)*2/5)*(1+C16+(C104-C16)*3/5)*(1+C16+(C104-C16)*4/5))*(1+C104)^2)</f>
        <v>3931.3886501224583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151</v>
      </c>
      <c r="C101" s="6">
        <f t="shared" ref="C101:J101" si="41">C95/(((1+C16)*(1+C16+(C104-C16)*1/5)*(1+C16+(C104-C16)*2/5)*(1+C16+(C104-C16)*3/5)*(1+C16+(C104-C16)*4/5))*(1+C104)^3)</f>
        <v>4012.0554361110408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152</v>
      </c>
      <c r="C102" s="6">
        <f t="shared" ref="C102:J102" si="42">C96/(((1+C16)*(1+C16+(C104-C16)*1/5)*(1+C16+(C104-C16)*2/5)*(1+C16+(C104-C16)*3/5)*(1+C16+(C104-C16)*4/5))*(1+C104)^4)</f>
        <v>3964.6912337603289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153</v>
      </c>
      <c r="C103" s="6">
        <f t="shared" ref="C103:J103" si="43">C97/(((1+C16)*(1+C16+(C104-C16)*1/5)*(1+C16+(C104-C16)*2/5)*(1+C16+(C104-C16)*3/5)*(1+C16+(C104-C16)*4/5))*(1+C104)^5)</f>
        <v>3789.7310324205191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154</v>
      </c>
      <c r="C104" s="11">
        <f>MAX((Inputs!B18+Inputs!B19+IF(ISBLANK(C17),Inputs!B24,C17)+Inputs!B25)*(1-Inputs!B36)+Inputs!B38*Inputs!B36,C15)</f>
        <v>8.2782759999999997E-2</v>
      </c>
      <c r="D104" s="11">
        <f>MAX((Inputs!B18+Inputs!B19+IF(ISBLANK(D17),Inputs!B24,D17)+Inputs!B25)*(1-Inputs!B36)+Inputs!B38*Inputs!B36,D15)</f>
        <v>8.2782759999999997E-2</v>
      </c>
      <c r="E104" s="11">
        <f>MAX((Inputs!B18+Inputs!B19+IF(ISBLANK(E17),Inputs!B24,E17)+Inputs!B25)*(1-Inputs!B36)+Inputs!B38*Inputs!B36,E15)</f>
        <v>8.2782759999999997E-2</v>
      </c>
      <c r="F104" s="11">
        <f>MAX((Inputs!B18+Inputs!B19+IF(ISBLANK(F17),Inputs!B24,F17)+Inputs!B25)*(1-Inputs!B36)+Inputs!B38*Inputs!B36,F15)</f>
        <v>8.2782759999999997E-2</v>
      </c>
      <c r="G104" s="11">
        <f>MAX((Inputs!B18+Inputs!B19+IF(ISBLANK(G17),Inputs!B24,G17)+Inputs!B25)*(1-Inputs!B36)+Inputs!B38*Inputs!B36,G15)</f>
        <v>8.2782759999999997E-2</v>
      </c>
      <c r="H104" s="11">
        <f>MAX((Inputs!B18+Inputs!B19+IF(ISBLANK(H17),Inputs!B24,H17)+Inputs!B25)*(1-Inputs!B36)+Inputs!B38*Inputs!B36,H15)</f>
        <v>8.2782759999999997E-2</v>
      </c>
      <c r="I104" s="11">
        <f>MAX((Inputs!B18+Inputs!B19+IF(ISBLANK(I17),Inputs!B24,I17)+Inputs!B25)*(1-Inputs!B36)+Inputs!B38*Inputs!B36,I15)</f>
        <v>8.2782759999999997E-2</v>
      </c>
      <c r="J104" s="11">
        <f>MAX((Inputs!B18+Inputs!B19+IF(ISBLANK(J17),Inputs!B24,J17)+Inputs!B25)*(1-Inputs!B36)+Inputs!B38*Inputs!B36,J15)</f>
        <v>8.2782759999999997E-2</v>
      </c>
    </row>
    <row r="105" spans="1:11" x14ac:dyDescent="0.25">
      <c r="A105" s="4" t="s">
        <v>155</v>
      </c>
      <c r="C105" s="6">
        <f t="shared" ref="C105:J105" si="44">SUM(C57:C61,C99:C103)</f>
        <v>31486.908187208232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156</v>
      </c>
      <c r="C106" s="6">
        <f t="shared" ref="C106:J106" si="45">IF(C5=0,0,C97*(1+C13)/(C104-C13))</f>
        <v>187945.36723447469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157</v>
      </c>
      <c r="C107" s="6">
        <f t="shared" ref="C107:J107" si="46">C106/(((1+C16)*(1+C16+(C104-C16)*1/5)*(1+C16+(C104-C16)*2/5)*(1+C16+(C104-C16)*3/5)*(1+C16+(C104-C16)*4/5))*(1+C104)^5)</f>
        <v>82087.59013826822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158</v>
      </c>
      <c r="C109" s="20">
        <f t="shared" ref="C109:J109" si="47">C105+C107</f>
        <v>113574.49832547645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113574.49832547645</v>
      </c>
    </row>
    <row r="110" spans="1:11" x14ac:dyDescent="0.25">
      <c r="A110" s="4" t="s">
        <v>159</v>
      </c>
      <c r="K110" s="11">
        <f>IFERROR(SUMPRODUCT(C109:J109,C16:J16)/SUM(C109:J109),0)</f>
        <v>9.4749114339026455E-2</v>
      </c>
    </row>
    <row r="111" spans="1:11" x14ac:dyDescent="0.25">
      <c r="A111" s="4" t="s">
        <v>160</v>
      </c>
      <c r="K111" s="5">
        <v>-8564</v>
      </c>
    </row>
    <row r="112" spans="1:11" x14ac:dyDescent="0.25">
      <c r="A112" s="4" t="s">
        <v>161</v>
      </c>
      <c r="K112" s="5">
        <v>0</v>
      </c>
    </row>
    <row r="113" spans="1:11" x14ac:dyDescent="0.25">
      <c r="A113" s="4" t="s">
        <v>162</v>
      </c>
      <c r="K113" s="5">
        <v>0</v>
      </c>
    </row>
    <row r="114" spans="1:11" x14ac:dyDescent="0.25">
      <c r="A114" s="4" t="s">
        <v>163</v>
      </c>
      <c r="K114" s="5">
        <v>0</v>
      </c>
    </row>
    <row r="115" spans="1:11" x14ac:dyDescent="0.25">
      <c r="A115" s="4" t="s">
        <v>164</v>
      </c>
      <c r="K115" s="5">
        <v>0</v>
      </c>
    </row>
    <row r="116" spans="1:11" x14ac:dyDescent="0.25">
      <c r="A116" s="4" t="s">
        <v>165</v>
      </c>
      <c r="K116" s="5">
        <v>-180</v>
      </c>
    </row>
    <row r="117" spans="1:11" x14ac:dyDescent="0.25">
      <c r="A117" s="4" t="s">
        <v>166</v>
      </c>
      <c r="K117" s="5">
        <v>0</v>
      </c>
    </row>
    <row r="118" spans="1:11" x14ac:dyDescent="0.25">
      <c r="A118" s="4" t="s">
        <v>167</v>
      </c>
      <c r="K118" s="5">
        <v>0</v>
      </c>
    </row>
    <row r="119" spans="1:11" x14ac:dyDescent="0.25">
      <c r="A119" s="4" t="s">
        <v>168</v>
      </c>
      <c r="K119" s="20">
        <f>K109+K113+K114+K115+K116+K117+K118-K111-K112</f>
        <v>121958.49832547645</v>
      </c>
    </row>
    <row r="120" spans="1:11" x14ac:dyDescent="0.25">
      <c r="A120" s="4" t="s">
        <v>169</v>
      </c>
      <c r="K120" s="6">
        <f>Inputs!B11</f>
        <v>1047.3</v>
      </c>
    </row>
    <row r="122" spans="1:11" ht="15.75" customHeight="1" x14ac:dyDescent="0.25">
      <c r="A122" s="4" t="s">
        <v>170</v>
      </c>
      <c r="K122" s="21">
        <f>K119/K120</f>
        <v>116.45039465814614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171</v>
      </c>
    </row>
    <row r="2" spans="1:11" x14ac:dyDescent="0.25">
      <c r="A2" s="2" t="s">
        <v>52</v>
      </c>
    </row>
    <row r="3" spans="1:11" x14ac:dyDescent="0.25">
      <c r="C3" s="13" t="s">
        <v>53</v>
      </c>
      <c r="D3" s="13" t="s">
        <v>54</v>
      </c>
      <c r="E3" s="13" t="s">
        <v>55</v>
      </c>
      <c r="F3" s="13" t="s">
        <v>56</v>
      </c>
      <c r="G3" s="13" t="s">
        <v>57</v>
      </c>
      <c r="H3" s="13" t="s">
        <v>58</v>
      </c>
      <c r="I3" s="13" t="s">
        <v>59</v>
      </c>
      <c r="J3" s="13" t="s">
        <v>60</v>
      </c>
      <c r="K3" s="13" t="s">
        <v>61</v>
      </c>
    </row>
    <row r="4" spans="1:11" x14ac:dyDescent="0.25">
      <c r="A4" s="4" t="s">
        <v>62</v>
      </c>
      <c r="C4" s="14" t="s">
        <v>53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63</v>
      </c>
      <c r="C5" s="5">
        <v>13278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64</v>
      </c>
      <c r="C6" s="7">
        <v>0.24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65</v>
      </c>
      <c r="C7" s="7">
        <v>0.17299999999999999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66</v>
      </c>
      <c r="C8" s="15">
        <v>0.13700000000000001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67</v>
      </c>
      <c r="C9" s="7">
        <v>0.24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68</v>
      </c>
      <c r="C10" s="7">
        <v>6.9000000000000006E-2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69</v>
      </c>
      <c r="C11" s="7">
        <v>5.6000000000000001E-2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70</v>
      </c>
      <c r="C12" s="7">
        <v>1.2999999999999999E-2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71</v>
      </c>
      <c r="C13" s="7">
        <v>0.04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72</v>
      </c>
      <c r="C14" s="9">
        <v>1.091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73</v>
      </c>
      <c r="C15" s="7">
        <v>7.8799999999999995E-2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74</v>
      </c>
      <c r="C16" s="11">
        <f>MAX((MAX(Inputs!B18+((1-0.33)*C14*(1+(1-Inputs!B22)*Inputs!B21)+0.33)*Inputs!B19+IF(ISBLANK(C17),Inputs!B24,C17)+Inputs!B25,MIN(Inputs!B27,0.08)+0.025))*Inputs!B29+Inputs!B28*Inputs!B30,C15)</f>
        <v>9.4749114339026455E-2</v>
      </c>
      <c r="D16" s="11">
        <f>MAX((MAX(Inputs!B18+((1-0.33)*D14*(1+(1-Inputs!B22)*Inputs!B21)+0.33)*Inputs!B19+IF(ISBLANK(D17),Inputs!B24,D17)+Inputs!B25,MIN(Inputs!B27,0.08)+0.025))*Inputs!B29+Inputs!B28*Inputs!B30,D15)</f>
        <v>7.6916141732283463E-2</v>
      </c>
      <c r="E16" s="11">
        <f>MAX((MAX(Inputs!B18+((1-0.33)*E14*(1+(1-Inputs!B22)*Inputs!B21)+0.33)*Inputs!B19+IF(ISBLANK(E17),Inputs!B24,E17)+Inputs!B25,MIN(Inputs!B27,0.08)+0.025))*Inputs!B29+Inputs!B28*Inputs!B30,E15)</f>
        <v>7.6916141732283463E-2</v>
      </c>
      <c r="F16" s="11">
        <f>MAX((MAX(Inputs!B18+((1-0.33)*F14*(1+(1-Inputs!B22)*Inputs!B21)+0.33)*Inputs!B19+IF(ISBLANK(F17),Inputs!B24,F17)+Inputs!B25,MIN(Inputs!B27,0.08)+0.025))*Inputs!B29+Inputs!B28*Inputs!B30,F15)</f>
        <v>7.6916141732283463E-2</v>
      </c>
      <c r="G16" s="11">
        <f>MAX((MAX(Inputs!B18+((1-0.33)*G14*(1+(1-Inputs!B22)*Inputs!B21)+0.33)*Inputs!B19+IF(ISBLANK(G17),Inputs!B24,G17)+Inputs!B25,MIN(Inputs!B27,0.08)+0.025))*Inputs!B29+Inputs!B28*Inputs!B30,G15)</f>
        <v>7.6916141732283463E-2</v>
      </c>
      <c r="H16" s="11">
        <f>MAX((MAX(Inputs!B18+((1-0.33)*H14*(1+(1-Inputs!B22)*Inputs!B21)+0.33)*Inputs!B19+IF(ISBLANK(H17),Inputs!B24,H17)+Inputs!B25,MIN(Inputs!B27,0.08)+0.025))*Inputs!B29+Inputs!B28*Inputs!B30,H15)</f>
        <v>7.6916141732283463E-2</v>
      </c>
      <c r="I16" s="11">
        <f>MAX((MAX(Inputs!B18+((1-0.33)*I14*(1+(1-Inputs!B22)*Inputs!B21)+0.33)*Inputs!B19+IF(ISBLANK(I17),Inputs!B24,I17)+Inputs!B25,MIN(Inputs!B27,0.08)+0.025))*Inputs!B29+Inputs!B28*Inputs!B30,I15)</f>
        <v>7.6916141732283463E-2</v>
      </c>
      <c r="J16" s="11">
        <f>MAX((MAX(Inputs!B18+((1-0.33)*J14*(1+(1-Inputs!B22)*Inputs!B21)+0.33)*Inputs!B19+IF(ISBLANK(J17),Inputs!B24,J17)+Inputs!B25,MIN(Inputs!B27,0.08)+0.025))*Inputs!B29+Inputs!B28*Inputs!B30,J15)</f>
        <v>7.6916141732283463E-2</v>
      </c>
    </row>
    <row r="17" spans="1:10" x14ac:dyDescent="0.25">
      <c r="A17" s="16" t="s">
        <v>75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76</v>
      </c>
      <c r="C18" s="18" t="s">
        <v>77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78</v>
      </c>
      <c r="C19" s="18" t="s">
        <v>79</v>
      </c>
      <c r="D19" s="18"/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80</v>
      </c>
      <c r="C20" s="18" t="s">
        <v>81</v>
      </c>
      <c r="D20" s="18"/>
      <c r="E20" s="18"/>
      <c r="F20" s="18"/>
      <c r="G20" s="18"/>
      <c r="H20" s="18"/>
      <c r="I20" s="18"/>
      <c r="J20" s="18"/>
    </row>
    <row r="21" spans="1:10" x14ac:dyDescent="0.25">
      <c r="A21" s="4" t="s">
        <v>82</v>
      </c>
      <c r="C21" s="6">
        <f t="shared" ref="C21:J21" si="0">C5*(1+C6)^1</f>
        <v>16464.72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83</v>
      </c>
      <c r="C22" s="6">
        <f t="shared" ref="C22:J22" si="1">C5*(1+C6)^2</f>
        <v>20416.252800000002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84</v>
      </c>
      <c r="C23" s="6">
        <f t="shared" ref="C23:J23" si="2">C5*(1+C6)^3</f>
        <v>25316.153472000002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85</v>
      </c>
      <c r="C24" s="6">
        <f t="shared" ref="C24:J24" si="3">C5*(1+C6)^4</f>
        <v>31392.030305280001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86</v>
      </c>
      <c r="C25" s="6">
        <f t="shared" ref="C25:J25" si="4">C5*(1+C6)^5</f>
        <v>38926.117578547201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87</v>
      </c>
      <c r="C26" s="7">
        <v>8.0000000000000002E-3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88</v>
      </c>
      <c r="C27" s="11">
        <f t="shared" ref="C27:J27" si="5">IF(ISBLANK(C9),C7,C7+(C9-C7)*(0)/4)</f>
        <v>0.17299999999999999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89</v>
      </c>
      <c r="C28" s="11">
        <f t="shared" ref="C28:J28" si="6">IF(ISBLANK(C9),C7,C7+(C9-C7)*(1)/4)</f>
        <v>0.18974999999999997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90</v>
      </c>
      <c r="C29" s="11">
        <f t="shared" ref="C29:J29" si="7">IF(ISBLANK(C9),C7,C7+(C9-C7)*(2)/4)</f>
        <v>0.20649999999999999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91</v>
      </c>
      <c r="C30" s="11">
        <f t="shared" ref="C30:J30" si="8">IF(ISBLANK(C9),C7,C7+(C9-C7)*(3)/4)</f>
        <v>0.22325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92</v>
      </c>
      <c r="C31" s="11">
        <f t="shared" ref="C31:J31" si="9">IF(ISBLANK(C9),C7,C7+(C9-C7)*(4)/4)</f>
        <v>0.24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93</v>
      </c>
      <c r="C33" s="6">
        <f t="shared" ref="C33:J37" si="10">C21*C27</f>
        <v>2848.3965600000001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94</v>
      </c>
      <c r="C34" s="6">
        <f t="shared" si="10"/>
        <v>3873.9839687999997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95</v>
      </c>
      <c r="C35" s="6">
        <f t="shared" si="10"/>
        <v>5227.7856919679998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96</v>
      </c>
      <c r="C36" s="6">
        <f t="shared" si="10"/>
        <v>7008.2707656537605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97</v>
      </c>
      <c r="C37" s="6">
        <f t="shared" si="10"/>
        <v>9342.2682188513281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98</v>
      </c>
      <c r="C39" s="6">
        <f>C33*(1-Inputs!B22)</f>
        <v>2193.2653512000002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99</v>
      </c>
      <c r="C40" s="6">
        <f>C34*(1-Inputs!B22)</f>
        <v>2982.9676559760001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100</v>
      </c>
      <c r="C41" s="6">
        <f>C35*(1-Inputs!B22)</f>
        <v>4025.39498281536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101</v>
      </c>
      <c r="C42" s="6">
        <f>C36*(1-Inputs!B22)</f>
        <v>5396.3684895533961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102</v>
      </c>
      <c r="C43" s="6">
        <f>C37*(1-Inputs!B22)</f>
        <v>7193.5465285155233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103</v>
      </c>
      <c r="C45" s="6">
        <f t="shared" ref="C45:J45" si="11">C21*IF(ISBLANK(C26),C12,C12+(C26-C12)*(0)/4)</f>
        <v>214.04136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104</v>
      </c>
      <c r="C46" s="6">
        <f t="shared" ref="C46:J46" si="12">C22*IF(ISBLANK(C26),C12,C12+(C26-C12)*(1)/4)</f>
        <v>239.89097040000001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105</v>
      </c>
      <c r="C47" s="6">
        <f t="shared" ref="C47:J47" si="13">C23*IF(ISBLANK(C26),C12,C12+(C26-C12)*(2)/4)</f>
        <v>265.81961145600002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106</v>
      </c>
      <c r="C48" s="6">
        <f t="shared" ref="C48:J48" si="14">C24*IF(ISBLANK(C26),C12,C12+(C26-C12)*(3)/4)</f>
        <v>290.37628032383998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107</v>
      </c>
      <c r="C49" s="6">
        <f t="shared" ref="C49:J49" si="15">C25*IF(ISBLANK(C26),C12,C12+(C26-C12)*(4)/4)</f>
        <v>311.40894062837759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108</v>
      </c>
      <c r="C51" s="6">
        <f t="shared" ref="C51:J55" si="16">C39-C45</f>
        <v>1979.2239912000002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109</v>
      </c>
      <c r="C52" s="6">
        <f t="shared" si="16"/>
        <v>2743.0766855760003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110</v>
      </c>
      <c r="C53" s="6">
        <f t="shared" si="16"/>
        <v>3759.5753713593599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111</v>
      </c>
      <c r="C54" s="6">
        <f t="shared" si="16"/>
        <v>5105.9922092295565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112</v>
      </c>
      <c r="C55" s="6">
        <f t="shared" si="16"/>
        <v>6882.1375878871459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113</v>
      </c>
      <c r="C57" s="6">
        <f t="shared" ref="C57:J57" si="17">C51/((1+C16))</f>
        <v>1807.9247247393214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114</v>
      </c>
      <c r="C58" s="6">
        <f t="shared" ref="C58:J58" si="18">C52/((1+C16)*(1+C16+(C104-C16)*1/5))</f>
        <v>2293.8193403169867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115</v>
      </c>
      <c r="C59" s="6">
        <f t="shared" ref="C59:J59" si="19">C53/((1+C16)*(1+C16+(C104-C16)*1/5)*(1+C16+(C104-C16)*2/5))</f>
        <v>2884.3534095503887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116</v>
      </c>
      <c r="C60" s="6">
        <f t="shared" ref="C60:J60" si="20">C54/((1+C16)*(1+C16+(C104-C16)*1/5)*(1+C16+(C104-C16)*2/5)*(1+C16+(C104-C16)*3/5))</f>
        <v>3601.91021790471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117</v>
      </c>
      <c r="C61" s="6">
        <f t="shared" ref="C61:J61" si="21">C55/((1+C16)*(1+C16+(C104-C16)*1/5)*(1+C16+(C104-C16)*2/5)*(1+C16+(C104-C16)*3/5)*(1+C16+(C104-C16)*4/5))</f>
        <v>4473.7930826418478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118</v>
      </c>
    </row>
    <row r="63" spans="1:10" x14ac:dyDescent="0.25">
      <c r="A63" s="4" t="s">
        <v>119</v>
      </c>
      <c r="C63" s="6">
        <f t="shared" ref="C63:J63" si="22">C25*(1+(C6+(C13-C6)*1/5))</f>
        <v>46711.341094256641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120</v>
      </c>
      <c r="C64" s="6">
        <f t="shared" ref="C64:J64" si="23">C63*(1+(C6+(C13-C6)*2/5))</f>
        <v>54185.155669337699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121</v>
      </c>
      <c r="C65" s="6">
        <f t="shared" ref="C65:J65" si="24">C64*(1+(C6+(C13-C6)*3/5))</f>
        <v>60687.374349658232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122</v>
      </c>
      <c r="C66" s="6">
        <f t="shared" ref="C66:J66" si="25">C65*(1+(C6+(C13-C6)*4/5))</f>
        <v>65542.364297630891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123</v>
      </c>
      <c r="C67" s="6">
        <f t="shared" ref="C67:J67" si="26">C66*(1+(C6+(C13-C6)*5/5))</f>
        <v>68164.058869536122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124</v>
      </c>
      <c r="C69" s="11">
        <f t="shared" ref="C69:J69" si="27">IF(ISBLANK(C9),C7,C9)</f>
        <v>0.24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125</v>
      </c>
      <c r="C70" s="11">
        <f t="shared" ref="C70:J70" si="28">IF(ISBLANK(C9),C7,C9)</f>
        <v>0.24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126</v>
      </c>
      <c r="C71" s="11">
        <f t="shared" ref="C71:J71" si="29">IF(ISBLANK(C9),C7,C9)</f>
        <v>0.24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127</v>
      </c>
      <c r="C72" s="11">
        <f t="shared" ref="C72:J72" si="30">IF(ISBLANK(C9),C7,C9)</f>
        <v>0.24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128</v>
      </c>
      <c r="C73" s="11">
        <f t="shared" ref="C73:J73" si="31">IF(ISBLANK(C9),C7,C9)</f>
        <v>0.24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129</v>
      </c>
      <c r="C75" s="6">
        <f t="shared" ref="C75:J79" si="32">C63*C69</f>
        <v>11210.721862621593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130</v>
      </c>
      <c r="C76" s="6">
        <f t="shared" si="32"/>
        <v>13004.437360641046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131</v>
      </c>
      <c r="C77" s="6">
        <f t="shared" si="32"/>
        <v>14564.969843917976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132</v>
      </c>
      <c r="C78" s="6">
        <f t="shared" si="32"/>
        <v>15730.167431431413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133</v>
      </c>
      <c r="C79" s="6">
        <f t="shared" si="32"/>
        <v>16359.374128688669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134</v>
      </c>
      <c r="C81" s="6">
        <f>C75*(1-Inputs!B22)</f>
        <v>8632.2558342186258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135</v>
      </c>
      <c r="C82" s="6">
        <f>C76*(1-Inputs!B22)</f>
        <v>10013.416767693607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136</v>
      </c>
      <c r="C83" s="6">
        <f>C77*(1-Inputs!B22)</f>
        <v>11215.026779816841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137</v>
      </c>
      <c r="C84" s="6">
        <f>C78*(1-Inputs!B22)</f>
        <v>12112.228922202188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138</v>
      </c>
      <c r="C85" s="6">
        <f>C79*(1-Inputs!B22)</f>
        <v>12596.718079090275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139</v>
      </c>
      <c r="C87" s="6">
        <f t="shared" ref="C87:J87" si="33">C63*MAX(IF(ISBLANK(C26),C12,C26),0)</f>
        <v>373.69072875405311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140</v>
      </c>
      <c r="C88" s="6">
        <f t="shared" ref="C88:J88" si="34">C64*MAX(IF(ISBLANK(C26),C12,C26),0)</f>
        <v>433.48124535470163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141</v>
      </c>
      <c r="C89" s="6">
        <f t="shared" ref="C89:J89" si="35">C65*MAX(IF(ISBLANK(C26),C12,C26),0)</f>
        <v>485.49899479726588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142</v>
      </c>
      <c r="C90" s="6">
        <f t="shared" ref="C90:J90" si="36">C66*MAX(IF(ISBLANK(C26),C12,C26),0)</f>
        <v>524.33891438104718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143</v>
      </c>
      <c r="C91" s="6">
        <f t="shared" ref="C91:J91" si="37">C67*MAX(IF(ISBLANK(C26),C12,C26),0)</f>
        <v>545.31247095628896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144</v>
      </c>
      <c r="C93" s="6">
        <f t="shared" ref="C93:J97" si="38">C81-C87</f>
        <v>8258.5651054645732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145</v>
      </c>
      <c r="C94" s="6">
        <f t="shared" si="38"/>
        <v>9579.9355223389048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146</v>
      </c>
      <c r="C95" s="6">
        <f t="shared" si="38"/>
        <v>10729.527785019574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147</v>
      </c>
      <c r="C96" s="6">
        <f t="shared" si="38"/>
        <v>11587.890007821141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148</v>
      </c>
      <c r="C97" s="6">
        <f t="shared" si="38"/>
        <v>12051.405608133986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149</v>
      </c>
      <c r="C99" s="6">
        <f t="shared" ref="C99:J99" si="39">C93/(((1+C16)*(1+C16+(C104-C16)*1/5)*(1+C16+(C104-C16)*2/5)*(1+C16+(C104-C16)*3/5)*(1+C16+(C104-C16)*4/5))*(1+C104)^1)</f>
        <v>4958.1060001086607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150</v>
      </c>
      <c r="C100" s="6">
        <f t="shared" ref="C100:J100" si="40">C94/(((1+C16)*(1+C16+(C104-C16)*1/5)*(1+C16+(C104-C16)*2/5)*(1+C16+(C104-C16)*3/5)*(1+C16+(C104-C16)*4/5))*(1+C104)^2)</f>
        <v>5311.6868614772247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151</v>
      </c>
      <c r="C101" s="6">
        <f t="shared" ref="C101:J101" si="41">C95/(((1+C16)*(1+C16+(C104-C16)*1/5)*(1+C16+(C104-C16)*2/5)*(1+C16+(C104-C16)*3/5)*(1+C16+(C104-C16)*4/5))*(1+C104)^3)</f>
        <v>5494.2593331043545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152</v>
      </c>
      <c r="C102" s="6">
        <f t="shared" ref="C102:J102" si="42">C96/(((1+C16)*(1+C16+(C104-C16)*1/5)*(1+C16+(C104-C16)*2/5)*(1+C16+(C104-C16)*3/5)*(1+C16+(C104-C16)*4/5))*(1+C104)^4)</f>
        <v>5480.1390444678891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153</v>
      </c>
      <c r="C103" s="6">
        <f t="shared" ref="C103:J103" si="43">C97/(((1+C16)*(1+C16+(C104-C16)*1/5)*(1+C16+(C104-C16)*2/5)*(1+C16+(C104-C16)*3/5)*(1+C16+(C104-C16)*4/5))*(1+C104)^5)</f>
        <v>5263.6085619303767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154</v>
      </c>
      <c r="C104" s="11">
        <f>MAX((Inputs!B18+Inputs!B19+IF(ISBLANK(C17),Inputs!B24,C17)+Inputs!B25)*(1-Inputs!B36)+Inputs!B38*Inputs!B36,C15)</f>
        <v>8.2782759999999997E-2</v>
      </c>
      <c r="D104" s="11">
        <f>MAX((Inputs!B18+Inputs!B19+IF(ISBLANK(D17),Inputs!B24,D17)+Inputs!B25)*(1-Inputs!B36)+Inputs!B38*Inputs!B36,D15)</f>
        <v>8.2782759999999997E-2</v>
      </c>
      <c r="E104" s="11">
        <f>MAX((Inputs!B18+Inputs!B19+IF(ISBLANK(E17),Inputs!B24,E17)+Inputs!B25)*(1-Inputs!B36)+Inputs!B38*Inputs!B36,E15)</f>
        <v>8.2782759999999997E-2</v>
      </c>
      <c r="F104" s="11">
        <f>MAX((Inputs!B18+Inputs!B19+IF(ISBLANK(F17),Inputs!B24,F17)+Inputs!B25)*(1-Inputs!B36)+Inputs!B38*Inputs!B36,F15)</f>
        <v>8.2782759999999997E-2</v>
      </c>
      <c r="G104" s="11">
        <f>MAX((Inputs!B18+Inputs!B19+IF(ISBLANK(G17),Inputs!B24,G17)+Inputs!B25)*(1-Inputs!B36)+Inputs!B38*Inputs!B36,G15)</f>
        <v>8.2782759999999997E-2</v>
      </c>
      <c r="H104" s="11">
        <f>MAX((Inputs!B18+Inputs!B19+IF(ISBLANK(H17),Inputs!B24,H17)+Inputs!B25)*(1-Inputs!B36)+Inputs!B38*Inputs!B36,H15)</f>
        <v>8.2782759999999997E-2</v>
      </c>
      <c r="I104" s="11">
        <f>MAX((Inputs!B18+Inputs!B19+IF(ISBLANK(I17),Inputs!B24,I17)+Inputs!B25)*(1-Inputs!B36)+Inputs!B38*Inputs!B36,I15)</f>
        <v>8.2782759999999997E-2</v>
      </c>
      <c r="J104" s="11">
        <f>MAX((Inputs!B18+Inputs!B19+IF(ISBLANK(J17),Inputs!B24,J17)+Inputs!B25)*(1-Inputs!B36)+Inputs!B38*Inputs!B36,J15)</f>
        <v>8.2782759999999997E-2</v>
      </c>
    </row>
    <row r="105" spans="1:11" x14ac:dyDescent="0.25">
      <c r="A105" s="4" t="s">
        <v>155</v>
      </c>
      <c r="C105" s="6">
        <f t="shared" ref="C105:J105" si="44">SUM(C57:C61,C99:C103)</f>
        <v>41569.600576241763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156</v>
      </c>
      <c r="C106" s="6">
        <f t="shared" ref="C106:J106" si="45">IF(C5=0,0,C97*(1+C13)/(C104-C13))</f>
        <v>292955.89701223921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157</v>
      </c>
      <c r="C107" s="6">
        <f t="shared" ref="C107:J107" si="46">C106/(((1+C16)*(1+C16+(C104-C16)*1/5)*(1+C16+(C104-C16)*2/5)*(1+C16+(C104-C16)*3/5)*(1+C16+(C104-C16)*4/5))*(1+C104)^5)</f>
        <v>127952.30846274509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158</v>
      </c>
      <c r="C109" s="20">
        <f t="shared" ref="C109:J109" si="47">C105+C107</f>
        <v>169521.90903898684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169521.90903898684</v>
      </c>
    </row>
    <row r="110" spans="1:11" x14ac:dyDescent="0.25">
      <c r="A110" s="4" t="s">
        <v>159</v>
      </c>
      <c r="K110" s="11">
        <f>IFERROR(SUMPRODUCT(C109:J109,C16:J16)/SUM(C109:J109),0)</f>
        <v>9.4749114339026455E-2</v>
      </c>
    </row>
    <row r="111" spans="1:11" x14ac:dyDescent="0.25">
      <c r="A111" s="4" t="s">
        <v>160</v>
      </c>
      <c r="K111" s="5">
        <v>-8564</v>
      </c>
    </row>
    <row r="112" spans="1:11" x14ac:dyDescent="0.25">
      <c r="A112" s="4" t="s">
        <v>161</v>
      </c>
      <c r="K112" s="5">
        <v>0</v>
      </c>
    </row>
    <row r="113" spans="1:11" x14ac:dyDescent="0.25">
      <c r="A113" s="4" t="s">
        <v>162</v>
      </c>
      <c r="K113" s="5">
        <v>0</v>
      </c>
    </row>
    <row r="114" spans="1:11" x14ac:dyDescent="0.25">
      <c r="A114" s="4" t="s">
        <v>163</v>
      </c>
      <c r="K114" s="5">
        <v>0</v>
      </c>
    </row>
    <row r="115" spans="1:11" x14ac:dyDescent="0.25">
      <c r="A115" s="4" t="s">
        <v>164</v>
      </c>
      <c r="K115" s="5">
        <v>0</v>
      </c>
    </row>
    <row r="116" spans="1:11" x14ac:dyDescent="0.25">
      <c r="A116" s="4" t="s">
        <v>165</v>
      </c>
      <c r="K116" s="5">
        <v>-180</v>
      </c>
    </row>
    <row r="117" spans="1:11" x14ac:dyDescent="0.25">
      <c r="A117" s="4" t="s">
        <v>166</v>
      </c>
      <c r="K117" s="5">
        <v>0</v>
      </c>
    </row>
    <row r="118" spans="1:11" x14ac:dyDescent="0.25">
      <c r="A118" s="4" t="s">
        <v>167</v>
      </c>
      <c r="K118" s="5">
        <v>0</v>
      </c>
    </row>
    <row r="119" spans="1:11" x14ac:dyDescent="0.25">
      <c r="A119" s="4" t="s">
        <v>168</v>
      </c>
      <c r="K119" s="20">
        <f>K109+K113+K114+K115+K116+K117+K118-K111-K112</f>
        <v>177905.90903898684</v>
      </c>
    </row>
    <row r="120" spans="1:11" x14ac:dyDescent="0.25">
      <c r="A120" s="4" t="s">
        <v>169</v>
      </c>
      <c r="K120" s="6">
        <f>Inputs!B11</f>
        <v>1047.3</v>
      </c>
    </row>
    <row r="122" spans="1:11" ht="15.75" customHeight="1" x14ac:dyDescent="0.25">
      <c r="A122" s="4" t="s">
        <v>170</v>
      </c>
      <c r="K122" s="21">
        <f>K119/K120</f>
        <v>169.87101025397388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172</v>
      </c>
    </row>
    <row r="2" spans="1:11" x14ac:dyDescent="0.25">
      <c r="A2" s="2" t="s">
        <v>52</v>
      </c>
    </row>
    <row r="3" spans="1:11" x14ac:dyDescent="0.25">
      <c r="C3" s="13" t="s">
        <v>53</v>
      </c>
      <c r="D3" s="13" t="s">
        <v>54</v>
      </c>
      <c r="E3" s="13" t="s">
        <v>55</v>
      </c>
      <c r="F3" s="13" t="s">
        <v>56</v>
      </c>
      <c r="G3" s="13" t="s">
        <v>57</v>
      </c>
      <c r="H3" s="13" t="s">
        <v>58</v>
      </c>
      <c r="I3" s="13" t="s">
        <v>59</v>
      </c>
      <c r="J3" s="13" t="s">
        <v>60</v>
      </c>
      <c r="K3" s="13" t="s">
        <v>61</v>
      </c>
    </row>
    <row r="4" spans="1:11" x14ac:dyDescent="0.25">
      <c r="A4" s="4" t="s">
        <v>62</v>
      </c>
      <c r="C4" s="14" t="s">
        <v>53</v>
      </c>
      <c r="D4" s="14"/>
      <c r="E4" s="14"/>
      <c r="F4" s="14"/>
      <c r="G4" s="14"/>
      <c r="H4" s="14"/>
      <c r="I4" s="14"/>
      <c r="J4" s="14"/>
    </row>
    <row r="5" spans="1:11" x14ac:dyDescent="0.25">
      <c r="A5" s="4" t="s">
        <v>63</v>
      </c>
      <c r="C5" s="5">
        <v>13278</v>
      </c>
      <c r="D5" s="5"/>
      <c r="E5" s="5"/>
      <c r="F5" s="5"/>
      <c r="G5" s="5"/>
      <c r="H5" s="5"/>
      <c r="I5" s="5"/>
      <c r="J5" s="5"/>
    </row>
    <row r="6" spans="1:11" x14ac:dyDescent="0.25">
      <c r="A6" s="4" t="s">
        <v>64</v>
      </c>
      <c r="C6" s="7">
        <v>0.16</v>
      </c>
      <c r="D6" s="7"/>
      <c r="E6" s="7"/>
      <c r="F6" s="7"/>
      <c r="G6" s="7"/>
      <c r="H6" s="7"/>
      <c r="I6" s="7"/>
      <c r="J6" s="7"/>
    </row>
    <row r="7" spans="1:11" x14ac:dyDescent="0.25">
      <c r="A7" s="4" t="s">
        <v>65</v>
      </c>
      <c r="C7" s="7">
        <v>0.13300000000000001</v>
      </c>
      <c r="D7" s="7"/>
      <c r="E7" s="7"/>
      <c r="F7" s="7"/>
      <c r="G7" s="7"/>
      <c r="H7" s="7"/>
      <c r="I7" s="7"/>
      <c r="J7" s="7"/>
    </row>
    <row r="8" spans="1:11" x14ac:dyDescent="0.25">
      <c r="A8" s="4" t="s">
        <v>66</v>
      </c>
      <c r="C8" s="15">
        <v>0.13700000000000001</v>
      </c>
      <c r="D8" s="15"/>
      <c r="E8" s="15"/>
      <c r="F8" s="15"/>
      <c r="G8" s="15"/>
      <c r="H8" s="15"/>
      <c r="I8" s="15"/>
      <c r="J8" s="15"/>
    </row>
    <row r="9" spans="1:11" x14ac:dyDescent="0.25">
      <c r="A9" s="4" t="s">
        <v>67</v>
      </c>
      <c r="C9" s="7">
        <v>0.19</v>
      </c>
      <c r="D9" s="7"/>
      <c r="E9" s="7"/>
      <c r="F9" s="7"/>
      <c r="G9" s="7"/>
      <c r="H9" s="7"/>
      <c r="I9" s="7"/>
      <c r="J9" s="7"/>
    </row>
    <row r="10" spans="1:11" x14ac:dyDescent="0.25">
      <c r="A10" s="4" t="s">
        <v>68</v>
      </c>
      <c r="C10" s="7">
        <v>6.9000000000000006E-2</v>
      </c>
      <c r="D10" s="7"/>
      <c r="E10" s="7"/>
      <c r="F10" s="7"/>
      <c r="G10" s="7"/>
      <c r="H10" s="7"/>
      <c r="I10" s="7"/>
      <c r="J10" s="7"/>
    </row>
    <row r="11" spans="1:11" x14ac:dyDescent="0.25">
      <c r="A11" s="4" t="s">
        <v>69</v>
      </c>
      <c r="C11" s="7">
        <v>5.6000000000000001E-2</v>
      </c>
      <c r="D11" s="7"/>
      <c r="E11" s="7"/>
      <c r="F11" s="7"/>
      <c r="G11" s="7"/>
      <c r="H11" s="7"/>
      <c r="I11" s="7"/>
      <c r="J11" s="7"/>
    </row>
    <row r="12" spans="1:11" x14ac:dyDescent="0.25">
      <c r="A12" s="4" t="s">
        <v>70</v>
      </c>
      <c r="C12" s="7">
        <v>1.2999999999999999E-2</v>
      </c>
      <c r="D12" s="7"/>
      <c r="E12" s="7"/>
      <c r="F12" s="7"/>
      <c r="G12" s="7"/>
      <c r="H12" s="7"/>
      <c r="I12" s="7"/>
      <c r="J12" s="7"/>
    </row>
    <row r="13" spans="1:11" x14ac:dyDescent="0.25">
      <c r="A13" s="4" t="s">
        <v>71</v>
      </c>
      <c r="C13" s="7">
        <v>0.03</v>
      </c>
      <c r="D13" s="7"/>
      <c r="E13" s="7"/>
      <c r="F13" s="7"/>
      <c r="G13" s="7"/>
      <c r="H13" s="7"/>
      <c r="I13" s="7"/>
      <c r="J13" s="7"/>
    </row>
    <row r="14" spans="1:11" x14ac:dyDescent="0.25">
      <c r="A14" s="4" t="s">
        <v>72</v>
      </c>
      <c r="C14" s="9">
        <v>1.091</v>
      </c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73</v>
      </c>
      <c r="C15" s="7">
        <v>7.8799999999999995E-2</v>
      </c>
      <c r="D15" s="7"/>
      <c r="E15" s="7"/>
      <c r="F15" s="7"/>
      <c r="G15" s="7"/>
      <c r="H15" s="7"/>
      <c r="I15" s="7"/>
      <c r="J15" s="7"/>
    </row>
    <row r="16" spans="1:11" x14ac:dyDescent="0.25">
      <c r="A16" s="4" t="s">
        <v>74</v>
      </c>
      <c r="C16" s="11">
        <f>MAX((MAX(Inputs!B18+((1-0.33)*C14*(1+(1-Inputs!B22)*Inputs!B21)+0.33)*Inputs!B19+IF(ISBLANK(C17),Inputs!B24,C17)+Inputs!B25,MIN(Inputs!B27,0.08)+0.025))*Inputs!B29+Inputs!B28*Inputs!B30,C15)</f>
        <v>9.4749114339026455E-2</v>
      </c>
      <c r="D16" s="11">
        <f>MAX((MAX(Inputs!B18+((1-0.33)*D14*(1+(1-Inputs!B22)*Inputs!B21)+0.33)*Inputs!B19+IF(ISBLANK(D17),Inputs!B24,D17)+Inputs!B25,MIN(Inputs!B27,0.08)+0.025))*Inputs!B29+Inputs!B28*Inputs!B30,D15)</f>
        <v>7.6916141732283463E-2</v>
      </c>
      <c r="E16" s="11">
        <f>MAX((MAX(Inputs!B18+((1-0.33)*E14*(1+(1-Inputs!B22)*Inputs!B21)+0.33)*Inputs!B19+IF(ISBLANK(E17),Inputs!B24,E17)+Inputs!B25,MIN(Inputs!B27,0.08)+0.025))*Inputs!B29+Inputs!B28*Inputs!B30,E15)</f>
        <v>7.6916141732283463E-2</v>
      </c>
      <c r="F16" s="11">
        <f>MAX((MAX(Inputs!B18+((1-0.33)*F14*(1+(1-Inputs!B22)*Inputs!B21)+0.33)*Inputs!B19+IF(ISBLANK(F17),Inputs!B24,F17)+Inputs!B25,MIN(Inputs!B27,0.08)+0.025))*Inputs!B29+Inputs!B28*Inputs!B30,F15)</f>
        <v>7.6916141732283463E-2</v>
      </c>
      <c r="G16" s="11">
        <f>MAX((MAX(Inputs!B18+((1-0.33)*G14*(1+(1-Inputs!B22)*Inputs!B21)+0.33)*Inputs!B19+IF(ISBLANK(G17),Inputs!B24,G17)+Inputs!B25,MIN(Inputs!B27,0.08)+0.025))*Inputs!B29+Inputs!B28*Inputs!B30,G15)</f>
        <v>7.6916141732283463E-2</v>
      </c>
      <c r="H16" s="11">
        <f>MAX((MAX(Inputs!B18+((1-0.33)*H14*(1+(1-Inputs!B22)*Inputs!B21)+0.33)*Inputs!B19+IF(ISBLANK(H17),Inputs!B24,H17)+Inputs!B25,MIN(Inputs!B27,0.08)+0.025))*Inputs!B29+Inputs!B28*Inputs!B30,H15)</f>
        <v>7.6916141732283463E-2</v>
      </c>
      <c r="I16" s="11">
        <f>MAX((MAX(Inputs!B18+((1-0.33)*I14*(1+(1-Inputs!B22)*Inputs!B21)+0.33)*Inputs!B19+IF(ISBLANK(I17),Inputs!B24,I17)+Inputs!B25,MIN(Inputs!B27,0.08)+0.025))*Inputs!B29+Inputs!B28*Inputs!B30,I15)</f>
        <v>7.6916141732283463E-2</v>
      </c>
      <c r="J16" s="11">
        <f>MAX((MAX(Inputs!B18+((1-0.33)*J14*(1+(1-Inputs!B22)*Inputs!B21)+0.33)*Inputs!B19+IF(ISBLANK(J17),Inputs!B24,J17)+Inputs!B25,MIN(Inputs!B27,0.08)+0.025))*Inputs!B29+Inputs!B28*Inputs!B30,J15)</f>
        <v>7.6916141732283463E-2</v>
      </c>
    </row>
    <row r="17" spans="1:10" x14ac:dyDescent="0.25">
      <c r="A17" s="16" t="s">
        <v>75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76</v>
      </c>
      <c r="C18" s="18" t="s">
        <v>77</v>
      </c>
      <c r="D18" s="18"/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78</v>
      </c>
      <c r="C19" s="18" t="s">
        <v>79</v>
      </c>
      <c r="D19" s="18"/>
      <c r="E19" s="18"/>
      <c r="F19" s="18"/>
      <c r="G19" s="18"/>
      <c r="H19" s="18"/>
      <c r="I19" s="18"/>
      <c r="J19" s="18"/>
    </row>
    <row r="20" spans="1:10" ht="27.95" customHeight="1" x14ac:dyDescent="0.25">
      <c r="A20" s="17" t="s">
        <v>80</v>
      </c>
      <c r="C20" s="18" t="s">
        <v>81</v>
      </c>
      <c r="D20" s="18"/>
      <c r="E20" s="18"/>
      <c r="F20" s="18"/>
      <c r="G20" s="18"/>
      <c r="H20" s="18"/>
      <c r="I20" s="18"/>
      <c r="J20" s="18"/>
    </row>
    <row r="21" spans="1:10" x14ac:dyDescent="0.25">
      <c r="A21" s="4" t="s">
        <v>82</v>
      </c>
      <c r="C21" s="6">
        <f t="shared" ref="C21:J21" si="0">C5*(1+C6)^1</f>
        <v>15402.48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83</v>
      </c>
      <c r="C22" s="6">
        <f t="shared" ref="C22:J22" si="1">C5*(1+C6)^2</f>
        <v>17866.876799999998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84</v>
      </c>
      <c r="C23" s="6">
        <f t="shared" ref="C23:J23" si="2">C5*(1+C6)^3</f>
        <v>20725.577087999998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85</v>
      </c>
      <c r="C24" s="6">
        <f t="shared" ref="C24:J24" si="3">C5*(1+C6)^4</f>
        <v>24041.669422079995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86</v>
      </c>
      <c r="C25" s="6">
        <f t="shared" ref="C25:J25" si="4">C5*(1+C6)^5</f>
        <v>27888.336529612796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87</v>
      </c>
      <c r="C26" s="7">
        <v>8.0000000000000002E-3</v>
      </c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88</v>
      </c>
      <c r="C27" s="11">
        <f t="shared" ref="C27:J27" si="5">IF(ISBLANK(C9),C7,C7+(C9-C7)*(0)/4)</f>
        <v>0.13300000000000001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89</v>
      </c>
      <c r="C28" s="11">
        <f t="shared" ref="C28:J28" si="6">IF(ISBLANK(C9),C7,C7+(C9-C7)*(1)/4)</f>
        <v>0.14724999999999999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90</v>
      </c>
      <c r="C29" s="11">
        <f t="shared" ref="C29:J29" si="7">IF(ISBLANK(C9),C7,C7+(C9-C7)*(2)/4)</f>
        <v>0.1615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91</v>
      </c>
      <c r="C30" s="11">
        <f t="shared" ref="C30:J30" si="8">IF(ISBLANK(C9),C7,C7+(C9-C7)*(3)/4)</f>
        <v>0.17575000000000002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92</v>
      </c>
      <c r="C31" s="11">
        <f t="shared" ref="C31:J31" si="9">IF(ISBLANK(C9),C7,C7+(C9-C7)*(4)/4)</f>
        <v>0.19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93</v>
      </c>
      <c r="C33" s="6">
        <f t="shared" ref="C33:J37" si="10">C21*C27</f>
        <v>2048.5298400000001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94</v>
      </c>
      <c r="C34" s="6">
        <f t="shared" si="10"/>
        <v>2630.8976087999995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95</v>
      </c>
      <c r="C35" s="6">
        <f t="shared" si="10"/>
        <v>3347.1806997119998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96</v>
      </c>
      <c r="C36" s="6">
        <f t="shared" si="10"/>
        <v>4225.3234009305597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97</v>
      </c>
      <c r="C37" s="6">
        <f t="shared" si="10"/>
        <v>5298.7839406264311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98</v>
      </c>
      <c r="C39" s="6">
        <f>C33*(1-Inputs!B22)</f>
        <v>1577.3679768000002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99</v>
      </c>
      <c r="C40" s="6">
        <f>C34*(1-Inputs!B22)</f>
        <v>2025.7911587759997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100</v>
      </c>
      <c r="C41" s="6">
        <f>C35*(1-Inputs!B22)</f>
        <v>2577.3291387782397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101</v>
      </c>
      <c r="C42" s="6">
        <f>C36*(1-Inputs!B22)</f>
        <v>3253.4990187165313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102</v>
      </c>
      <c r="C43" s="6">
        <f>C37*(1-Inputs!B22)</f>
        <v>4080.0636342823523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103</v>
      </c>
      <c r="C45" s="6">
        <f t="shared" ref="C45:J45" si="11">C21*IF(ISBLANK(C26),C12,C12+(C26-C12)*(0)/4)</f>
        <v>200.23223999999999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104</v>
      </c>
      <c r="C46" s="6">
        <f t="shared" ref="C46:J46" si="12">C22*IF(ISBLANK(C26),C12,C12+(C26-C12)*(1)/4)</f>
        <v>209.93580239999997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105</v>
      </c>
      <c r="C47" s="6">
        <f t="shared" ref="C47:J47" si="13">C23*IF(ISBLANK(C26),C12,C12+(C26-C12)*(2)/4)</f>
        <v>217.61855942399995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106</v>
      </c>
      <c r="C48" s="6">
        <f t="shared" ref="C48:J48" si="14">C24*IF(ISBLANK(C26),C12,C12+(C26-C12)*(3)/4)</f>
        <v>222.38544215423994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107</v>
      </c>
      <c r="C49" s="6">
        <f t="shared" ref="C49:J49" si="15">C25*IF(ISBLANK(C26),C12,C12+(C26-C12)*(4)/4)</f>
        <v>223.10669223690238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108</v>
      </c>
      <c r="C51" s="6">
        <f t="shared" ref="C51:J55" si="16">C39-C45</f>
        <v>1377.1357368000001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109</v>
      </c>
      <c r="C52" s="6">
        <f t="shared" si="16"/>
        <v>1815.8553563759997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110</v>
      </c>
      <c r="C53" s="6">
        <f t="shared" si="16"/>
        <v>2359.7105793542396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111</v>
      </c>
      <c r="C54" s="6">
        <f t="shared" si="16"/>
        <v>3031.1135765622912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112</v>
      </c>
      <c r="C55" s="6">
        <f t="shared" si="16"/>
        <v>3856.95694204545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113</v>
      </c>
      <c r="C57" s="6">
        <f t="shared" ref="C57:J57" si="17">C51/((1+C16))</f>
        <v>1257.9464269596322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114</v>
      </c>
      <c r="C58" s="6">
        <f t="shared" ref="C58:J58" si="18">C52/((1+C16)*(1+C16+(C104-C16)*1/5))</f>
        <v>1518.4570513743515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115</v>
      </c>
      <c r="C59" s="6">
        <f t="shared" ref="C59:J59" si="19">C53/((1+C16)*(1+C16+(C104-C16)*1/5)*(1+C16+(C104-C16)*2/5))</f>
        <v>1810.3744659470874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116</v>
      </c>
      <c r="C60" s="6">
        <f t="shared" ref="C60:J60" si="20">C54/((1+C16)*(1+C16+(C104-C16)*1/5)*(1+C16+(C104-C16)*2/5)*(1+C16+(C104-C16)*3/5))</f>
        <v>2138.2325933272027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117</v>
      </c>
      <c r="C61" s="6">
        <f t="shared" ref="C61:J61" si="21">C55/((1+C16)*(1+C16+(C104-C16)*1/5)*(1+C16+(C104-C16)*2/5)*(1+C16+(C104-C16)*3/5)*(1+C16+(C104-C16)*4/5))</f>
        <v>2507.2482302214239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118</v>
      </c>
    </row>
    <row r="63" spans="1:10" x14ac:dyDescent="0.25">
      <c r="A63" s="4" t="s">
        <v>119</v>
      </c>
      <c r="C63" s="6">
        <f t="shared" ref="C63:J63" si="22">C25*(1+(C6+(C13-C6)*1/5))</f>
        <v>31625.373624580909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120</v>
      </c>
      <c r="C64" s="6">
        <f t="shared" ref="C64:J64" si="23">C63*(1+(C6+(C13-C6)*2/5))</f>
        <v>35040.913976035648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121</v>
      </c>
      <c r="C65" s="6">
        <f t="shared" ref="C65:J65" si="24">C64*(1+(C6+(C13-C6)*3/5))</f>
        <v>37914.268922070572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122</v>
      </c>
      <c r="C66" s="6">
        <f t="shared" ref="C66:J66" si="25">C65*(1+(C6+(C13-C6)*4/5))</f>
        <v>40037.467981706526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123</v>
      </c>
      <c r="C67" s="6">
        <f t="shared" ref="C67:J67" si="26">C66*(1+(C6+(C13-C6)*5/5))</f>
        <v>41238.592021157725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124</v>
      </c>
      <c r="C69" s="11">
        <f t="shared" ref="C69:J69" si="27">IF(ISBLANK(C9),C7,C9)</f>
        <v>0.19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125</v>
      </c>
      <c r="C70" s="11">
        <f t="shared" ref="C70:J70" si="28">IF(ISBLANK(C9),C7,C9)</f>
        <v>0.19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126</v>
      </c>
      <c r="C71" s="11">
        <f t="shared" ref="C71:J71" si="29">IF(ISBLANK(C9),C7,C9)</f>
        <v>0.19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127</v>
      </c>
      <c r="C72" s="11">
        <f t="shared" ref="C72:J72" si="30">IF(ISBLANK(C9),C7,C9)</f>
        <v>0.19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128</v>
      </c>
      <c r="C73" s="11">
        <f t="shared" ref="C73:J73" si="31">IF(ISBLANK(C9),C7,C9)</f>
        <v>0.19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129</v>
      </c>
      <c r="C75" s="6">
        <f t="shared" ref="C75:J79" si="32">C63*C69</f>
        <v>6008.8209886703726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130</v>
      </c>
      <c r="C76" s="6">
        <f t="shared" si="32"/>
        <v>6657.7736554467729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131</v>
      </c>
      <c r="C77" s="6">
        <f t="shared" si="32"/>
        <v>7203.7110951934092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132</v>
      </c>
      <c r="C78" s="6">
        <f t="shared" si="32"/>
        <v>7607.1189165242404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133</v>
      </c>
      <c r="C79" s="6">
        <f t="shared" si="32"/>
        <v>7835.3324840199675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134</v>
      </c>
      <c r="C81" s="6">
        <f>C75*(1-Inputs!B22)</f>
        <v>4626.7921612761866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135</v>
      </c>
      <c r="C82" s="6">
        <f>C76*(1-Inputs!B22)</f>
        <v>5126.4857146940149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136</v>
      </c>
      <c r="C83" s="6">
        <f>C77*(1-Inputs!B22)</f>
        <v>5546.8575432989255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137</v>
      </c>
      <c r="C84" s="6">
        <f>C78*(1-Inputs!B22)</f>
        <v>5857.481565723665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138</v>
      </c>
      <c r="C85" s="6">
        <f>C79*(1-Inputs!B22)</f>
        <v>6033.2060126953747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139</v>
      </c>
      <c r="C87" s="6">
        <f t="shared" ref="C87:J87" si="33">C63*MAX(IF(ISBLANK(C26),C12,C26),0)</f>
        <v>253.00298899664728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140</v>
      </c>
      <c r="C88" s="6">
        <f t="shared" ref="C88:J88" si="34">C64*MAX(IF(ISBLANK(C26),C12,C26),0)</f>
        <v>280.32731180828517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141</v>
      </c>
      <c r="C89" s="6">
        <f t="shared" ref="C89:J89" si="35">C65*MAX(IF(ISBLANK(C26),C12,C26),0)</f>
        <v>303.31415137656461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142</v>
      </c>
      <c r="C90" s="6">
        <f t="shared" ref="C90:J90" si="36">C66*MAX(IF(ISBLANK(C26),C12,C26),0)</f>
        <v>320.29974385365222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143</v>
      </c>
      <c r="C91" s="6">
        <f t="shared" ref="C91:J91" si="37">C67*MAX(IF(ISBLANK(C26),C12,C26),0)</f>
        <v>329.90873616926183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144</v>
      </c>
      <c r="C93" s="6">
        <f t="shared" ref="C93:J97" si="38">C81-C87</f>
        <v>4373.7891722795393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145</v>
      </c>
      <c r="C94" s="6">
        <f t="shared" si="38"/>
        <v>4846.1584028857296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146</v>
      </c>
      <c r="C95" s="6">
        <f t="shared" si="38"/>
        <v>5243.5433919223606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147</v>
      </c>
      <c r="C96" s="6">
        <f t="shared" si="38"/>
        <v>5537.1818218700128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148</v>
      </c>
      <c r="C97" s="6">
        <f t="shared" si="38"/>
        <v>5703.2972765261129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149</v>
      </c>
      <c r="C99" s="6">
        <f t="shared" ref="C99:J99" si="39">C93/(((1+C16)*(1+C16+(C104-C16)*1/5)*(1+C16+(C104-C16)*2/5)*(1+C16+(C104-C16)*3/5)*(1+C16+(C104-C16)*4/5))*(1+C104)^1)</f>
        <v>2625.8448121866054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150</v>
      </c>
      <c r="C100" s="6">
        <f t="shared" ref="C100:J100" si="40">C94/(((1+C16)*(1+C16+(C104-C16)*1/5)*(1+C16+(C104-C16)*2/5)*(1+C16+(C104-C16)*3/5)*(1+C16+(C104-C16)*4/5))*(1+C104)^2)</f>
        <v>2686.99886937871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151</v>
      </c>
      <c r="C101" s="6">
        <f t="shared" ref="C101:J101" si="41">C95/(((1+C16)*(1+C16+(C104-C16)*1/5)*(1+C16+(C104-C16)*2/5)*(1+C16+(C104-C16)*3/5)*(1+C16+(C104-C16)*4/5))*(1+C104)^3)</f>
        <v>2685.05639734028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152</v>
      </c>
      <c r="C102" s="6">
        <f t="shared" ref="C102:J102" si="42">C96/(((1+C16)*(1+C16+(C104-C16)*1/5)*(1+C16+(C104-C16)*2/5)*(1+C16+(C104-C16)*3/5)*(1+C16+(C104-C16)*4/5))*(1+C104)^4)</f>
        <v>2618.6412088712382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153</v>
      </c>
      <c r="C103" s="6">
        <f t="shared" ref="C103:J103" si="43">C97/(((1+C16)*(1+C16+(C104-C16)*1/5)*(1+C16+(C104-C16)*2/5)*(1+C16+(C104-C16)*3/5)*(1+C16+(C104-C16)*4/5))*(1+C104)^5)</f>
        <v>2490.9894623159453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154</v>
      </c>
      <c r="C104" s="11">
        <f>MAX((Inputs!B18+Inputs!B19+IF(ISBLANK(C17),Inputs!B24,C17)+Inputs!B25)*(1-Inputs!B36)+Inputs!B38*Inputs!B36,C15)</f>
        <v>8.2782759999999997E-2</v>
      </c>
      <c r="D104" s="11">
        <f>MAX((Inputs!B18+Inputs!B19+IF(ISBLANK(D17),Inputs!B24,D17)+Inputs!B25)*(1-Inputs!B36)+Inputs!B38*Inputs!B36,D15)</f>
        <v>8.2782759999999997E-2</v>
      </c>
      <c r="E104" s="11">
        <f>MAX((Inputs!B18+Inputs!B19+IF(ISBLANK(E17),Inputs!B24,E17)+Inputs!B25)*(1-Inputs!B36)+Inputs!B38*Inputs!B36,E15)</f>
        <v>8.2782759999999997E-2</v>
      </c>
      <c r="F104" s="11">
        <f>MAX((Inputs!B18+Inputs!B19+IF(ISBLANK(F17),Inputs!B24,F17)+Inputs!B25)*(1-Inputs!B36)+Inputs!B38*Inputs!B36,F15)</f>
        <v>8.2782759999999997E-2</v>
      </c>
      <c r="G104" s="11">
        <f>MAX((Inputs!B18+Inputs!B19+IF(ISBLANK(G17),Inputs!B24,G17)+Inputs!B25)*(1-Inputs!B36)+Inputs!B38*Inputs!B36,G15)</f>
        <v>8.2782759999999997E-2</v>
      </c>
      <c r="H104" s="11">
        <f>MAX((Inputs!B18+Inputs!B19+IF(ISBLANK(H17),Inputs!B24,H17)+Inputs!B25)*(1-Inputs!B36)+Inputs!B38*Inputs!B36,H15)</f>
        <v>8.2782759999999997E-2</v>
      </c>
      <c r="I104" s="11">
        <f>MAX((Inputs!B18+Inputs!B19+IF(ISBLANK(I17),Inputs!B24,I17)+Inputs!B25)*(1-Inputs!B36)+Inputs!B38*Inputs!B36,I15)</f>
        <v>8.2782759999999997E-2</v>
      </c>
      <c r="J104" s="11">
        <f>MAX((Inputs!B18+Inputs!B19+IF(ISBLANK(J17),Inputs!B24,J17)+Inputs!B25)*(1-Inputs!B36)+Inputs!B38*Inputs!B36,J15)</f>
        <v>8.2782759999999997E-2</v>
      </c>
    </row>
    <row r="105" spans="1:11" x14ac:dyDescent="0.25">
      <c r="A105" s="4" t="s">
        <v>155</v>
      </c>
      <c r="C105" s="6">
        <f t="shared" ref="C105:J105" si="44">SUM(C57:C61,C99:C103)</f>
        <v>22339.789517922476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156</v>
      </c>
      <c r="C106" s="6">
        <f t="shared" ref="C106:J106" si="45">IF(C5=0,0,C97*(1+C13)/(C104-C13))</f>
        <v>111293.84281575834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157</v>
      </c>
      <c r="C107" s="6">
        <f t="shared" ref="C107:J107" si="46">C106/(((1+C16)*(1+C16+(C104-C16)*1/5)*(1+C16+(C104-C16)*2/5)*(1+C16+(C104-C16)*3/5)*(1+C16+(C104-C16)*4/5))*(1+C104)^5)</f>
        <v>48609.03723460887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158</v>
      </c>
      <c r="C109" s="20">
        <f t="shared" ref="C109:J109" si="47">C105+C107</f>
        <v>70948.826752531342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70948.826752531342</v>
      </c>
    </row>
    <row r="110" spans="1:11" x14ac:dyDescent="0.25">
      <c r="A110" s="4" t="s">
        <v>159</v>
      </c>
      <c r="K110" s="11">
        <f>IFERROR(SUMPRODUCT(C109:J109,C16:J16)/SUM(C109:J109),0)</f>
        <v>9.4749114339026455E-2</v>
      </c>
    </row>
    <row r="111" spans="1:11" x14ac:dyDescent="0.25">
      <c r="A111" s="4" t="s">
        <v>160</v>
      </c>
      <c r="K111" s="5">
        <v>-8564</v>
      </c>
    </row>
    <row r="112" spans="1:11" x14ac:dyDescent="0.25">
      <c r="A112" s="4" t="s">
        <v>161</v>
      </c>
      <c r="K112" s="5">
        <v>0</v>
      </c>
    </row>
    <row r="113" spans="1:11" x14ac:dyDescent="0.25">
      <c r="A113" s="4" t="s">
        <v>162</v>
      </c>
      <c r="K113" s="5">
        <v>0</v>
      </c>
    </row>
    <row r="114" spans="1:11" x14ac:dyDescent="0.25">
      <c r="A114" s="4" t="s">
        <v>163</v>
      </c>
      <c r="K114" s="5">
        <v>0</v>
      </c>
    </row>
    <row r="115" spans="1:11" x14ac:dyDescent="0.25">
      <c r="A115" s="4" t="s">
        <v>164</v>
      </c>
      <c r="K115" s="5">
        <v>0</v>
      </c>
    </row>
    <row r="116" spans="1:11" x14ac:dyDescent="0.25">
      <c r="A116" s="4" t="s">
        <v>165</v>
      </c>
      <c r="K116" s="5">
        <v>-180</v>
      </c>
    </row>
    <row r="117" spans="1:11" x14ac:dyDescent="0.25">
      <c r="A117" s="4" t="s">
        <v>166</v>
      </c>
      <c r="K117" s="5">
        <v>0</v>
      </c>
    </row>
    <row r="118" spans="1:11" x14ac:dyDescent="0.25">
      <c r="A118" s="4" t="s">
        <v>167</v>
      </c>
      <c r="K118" s="5">
        <v>0</v>
      </c>
    </row>
    <row r="119" spans="1:11" x14ac:dyDescent="0.25">
      <c r="A119" s="4" t="s">
        <v>168</v>
      </c>
      <c r="K119" s="20">
        <f>K109+K113+K114+K115+K116+K117+K118-K111-K112</f>
        <v>79332.826752531342</v>
      </c>
    </row>
    <row r="120" spans="1:11" x14ac:dyDescent="0.25">
      <c r="A120" s="4" t="s">
        <v>169</v>
      </c>
      <c r="K120" s="6">
        <f>Inputs!B11</f>
        <v>1047.3</v>
      </c>
    </row>
    <row r="122" spans="1:11" ht="15.75" customHeight="1" x14ac:dyDescent="0.25">
      <c r="A122" s="4" t="s">
        <v>170</v>
      </c>
      <c r="K122" s="21">
        <f>K119/K120</f>
        <v>75.749858447943609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140625" defaultRowHeight="15" x14ac:dyDescent="0.25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75" customHeight="1" x14ac:dyDescent="0.3">
      <c r="A1" s="1" t="s">
        <v>173</v>
      </c>
    </row>
    <row r="2" spans="1:5" x14ac:dyDescent="0.25">
      <c r="A2" s="2" t="s">
        <v>174</v>
      </c>
    </row>
    <row r="3" spans="1:5" x14ac:dyDescent="0.25">
      <c r="A3" s="2" t="s">
        <v>175</v>
      </c>
    </row>
    <row r="4" spans="1:5" x14ac:dyDescent="0.25">
      <c r="A4" s="22" t="s">
        <v>176</v>
      </c>
      <c r="B4" s="22" t="s">
        <v>177</v>
      </c>
      <c r="C4" s="22" t="s">
        <v>178</v>
      </c>
      <c r="D4" s="22" t="s">
        <v>179</v>
      </c>
      <c r="E4" s="22" t="s">
        <v>180</v>
      </c>
    </row>
    <row r="5" spans="1:5" ht="30" customHeight="1" x14ac:dyDescent="0.25">
      <c r="A5" s="23" t="s">
        <v>181</v>
      </c>
      <c r="B5" s="5">
        <v>-450</v>
      </c>
      <c r="C5" s="7">
        <v>0.4</v>
      </c>
      <c r="D5" s="6">
        <f>IF(ISNUMBER(B5),B5*C5,"")</f>
        <v>-180</v>
      </c>
      <c r="E5" s="24" t="s">
        <v>182</v>
      </c>
    </row>
    <row r="6" spans="1:5" ht="30" customHeight="1" x14ac:dyDescent="0.25">
      <c r="A6" s="23"/>
      <c r="B6" s="5"/>
      <c r="C6" s="7"/>
      <c r="D6" s="6" t="str">
        <f>IF(ISNUMBER(B6),B6*C6,"")</f>
        <v/>
      </c>
      <c r="E6" s="24"/>
    </row>
    <row r="7" spans="1:5" ht="30" customHeight="1" x14ac:dyDescent="0.25">
      <c r="A7" s="23"/>
      <c r="B7" s="5"/>
      <c r="C7" s="7"/>
      <c r="D7" s="6" t="str">
        <f>IF(ISNUMBER(B7),B7*C7,"")</f>
        <v/>
      </c>
      <c r="E7" s="24"/>
    </row>
    <row r="8" spans="1:5" ht="30" customHeight="1" x14ac:dyDescent="0.25">
      <c r="A8" s="23"/>
      <c r="B8" s="5"/>
      <c r="C8" s="7"/>
      <c r="D8" s="6" t="str">
        <f>IF(ISNUMBER(B8),B8*C8,"")</f>
        <v/>
      </c>
      <c r="E8" s="24"/>
    </row>
    <row r="9" spans="1:5" ht="30" customHeight="1" x14ac:dyDescent="0.25">
      <c r="A9" s="23"/>
      <c r="B9" s="5"/>
      <c r="C9" s="7"/>
      <c r="D9" s="6" t="str">
        <f>IF(ISNUMBER(B9),B9*C9,"")</f>
        <v/>
      </c>
      <c r="E9" s="24"/>
    </row>
    <row r="11" spans="1:5" x14ac:dyDescent="0.25">
      <c r="C11" s="4" t="s">
        <v>183</v>
      </c>
      <c r="D11" s="20">
        <f>SUM(D5:D9)</f>
        <v>-180</v>
      </c>
    </row>
    <row r="12" spans="1:5" x14ac:dyDescent="0.25">
      <c r="C12" s="4" t="s">
        <v>184</v>
      </c>
      <c r="D12" s="20">
        <f>IF(Inputs!B11&gt;0,D11/Inputs!B11,"")</f>
        <v>-0.17187052420509882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140625" defaultRowHeight="15" x14ac:dyDescent="0.25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75" customHeight="1" x14ac:dyDescent="0.3">
      <c r="A1" s="1" t="s">
        <v>185</v>
      </c>
    </row>
    <row r="2" spans="1:12" x14ac:dyDescent="0.25">
      <c r="A2" s="2" t="s">
        <v>186</v>
      </c>
    </row>
    <row r="4" spans="1:12" x14ac:dyDescent="0.25">
      <c r="A4" s="3" t="s">
        <v>187</v>
      </c>
    </row>
    <row r="5" spans="1:12" ht="30" customHeight="1" x14ac:dyDescent="0.25">
      <c r="A5" s="25" t="s">
        <v>188</v>
      </c>
      <c r="B5" s="25" t="s">
        <v>189</v>
      </c>
      <c r="C5" s="25" t="s">
        <v>190</v>
      </c>
      <c r="D5" s="25" t="s">
        <v>191</v>
      </c>
      <c r="E5" s="25" t="s">
        <v>192</v>
      </c>
      <c r="F5" s="25" t="s">
        <v>193</v>
      </c>
      <c r="G5" s="25" t="s">
        <v>194</v>
      </c>
      <c r="H5" s="25" t="s">
        <v>195</v>
      </c>
      <c r="I5" s="25" t="s">
        <v>196</v>
      </c>
      <c r="J5" s="25" t="s">
        <v>197</v>
      </c>
      <c r="K5" s="25" t="s">
        <v>198</v>
      </c>
      <c r="L5" s="25" t="s">
        <v>199</v>
      </c>
    </row>
    <row r="6" spans="1:12" x14ac:dyDescent="0.25">
      <c r="A6" s="35" t="s">
        <v>53</v>
      </c>
      <c r="B6" s="36">
        <v>0.24</v>
      </c>
      <c r="C6" s="36">
        <v>0.21</v>
      </c>
      <c r="D6" s="36">
        <v>0.16</v>
      </c>
      <c r="E6" s="36">
        <v>0.17299999999999999</v>
      </c>
      <c r="F6" s="36">
        <v>0.153</v>
      </c>
      <c r="G6" s="36">
        <v>0.13300000000000001</v>
      </c>
      <c r="H6" s="36">
        <v>0.04</v>
      </c>
      <c r="I6" s="36">
        <v>3.5000000000000003E-2</v>
      </c>
      <c r="J6" s="36">
        <v>0.03</v>
      </c>
      <c r="K6" s="37">
        <v>1.1000000000000001</v>
      </c>
      <c r="L6" s="37">
        <v>2</v>
      </c>
    </row>
    <row r="7" spans="1:12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25">
      <c r="A15" s="3" t="s">
        <v>200</v>
      </c>
    </row>
    <row r="16" spans="1:12" x14ac:dyDescent="0.25">
      <c r="A16" s="22" t="s">
        <v>201</v>
      </c>
      <c r="B16" s="22" t="s">
        <v>202</v>
      </c>
      <c r="C16" s="22" t="s">
        <v>203</v>
      </c>
      <c r="D16" s="22" t="s">
        <v>204</v>
      </c>
      <c r="E16" s="22" t="s">
        <v>205</v>
      </c>
    </row>
    <row r="17" spans="1:5" x14ac:dyDescent="0.25">
      <c r="A17" s="4" t="s">
        <v>206</v>
      </c>
      <c r="B17" s="6">
        <f>'DCF Bull'!K122</f>
        <v>169.87101025397388</v>
      </c>
      <c r="C17" s="38">
        <v>0.25</v>
      </c>
      <c r="D17" s="27" t="s">
        <v>207</v>
      </c>
      <c r="E17" s="6">
        <f>MAX(B17,0)</f>
        <v>169.87101025397388</v>
      </c>
    </row>
    <row r="18" spans="1:5" x14ac:dyDescent="0.25">
      <c r="A18" s="4" t="s">
        <v>208</v>
      </c>
      <c r="B18" s="6">
        <f>'DCF Base'!K122</f>
        <v>116.45039465814614</v>
      </c>
      <c r="C18" s="38">
        <v>0.6</v>
      </c>
      <c r="D18" s="27" t="s">
        <v>209</v>
      </c>
      <c r="E18" s="6">
        <f>MAX(B18,0)</f>
        <v>116.45039465814614</v>
      </c>
    </row>
    <row r="19" spans="1:5" x14ac:dyDescent="0.25">
      <c r="A19" s="4" t="s">
        <v>210</v>
      </c>
      <c r="B19" s="6">
        <f>'DCF Bear'!K122</f>
        <v>75.749858447943609</v>
      </c>
      <c r="C19" s="38">
        <v>0.15</v>
      </c>
      <c r="D19" s="27" t="s">
        <v>211</v>
      </c>
      <c r="E19" s="6">
        <f>MAX(B19,0)</f>
        <v>75.749858447943609</v>
      </c>
    </row>
    <row r="20" spans="1:5" x14ac:dyDescent="0.25">
      <c r="A20" s="2" t="s">
        <v>212</v>
      </c>
    </row>
    <row r="21" spans="1:5" ht="15.75" customHeight="1" x14ac:dyDescent="0.25">
      <c r="A21" s="19" t="s">
        <v>213</v>
      </c>
      <c r="B21" s="21">
        <f>MAX(0,B17*C17+B18*C18+B19*C19)</f>
        <v>123.7004681255727</v>
      </c>
      <c r="D21" s="2" t="s">
        <v>214</v>
      </c>
      <c r="E21" s="6">
        <f>B17*C17+B18*C18+B19*C19</f>
        <v>123.7004681255727</v>
      </c>
    </row>
    <row r="22" spans="1:5" x14ac:dyDescent="0.25">
      <c r="A22" s="2" t="s">
        <v>215</v>
      </c>
      <c r="B22" s="39" t="s">
        <v>216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5"/>
  <sheetViews>
    <sheetView workbookViewId="0"/>
  </sheetViews>
  <sheetFormatPr baseColWidth="10" defaultColWidth="9.140625" defaultRowHeight="15" x14ac:dyDescent="0.25"/>
  <cols>
    <col min="1" max="1" width="34" customWidth="1"/>
    <col min="2" max="5" width="14" customWidth="1"/>
  </cols>
  <sheetData>
    <row r="1" spans="1:5" ht="17.25" customHeight="1" x14ac:dyDescent="0.3">
      <c r="A1" s="28" t="s">
        <v>217</v>
      </c>
    </row>
    <row r="2" spans="1:5" x14ac:dyDescent="0.25">
      <c r="A2" s="2" t="s">
        <v>218</v>
      </c>
    </row>
    <row r="4" spans="1:5" x14ac:dyDescent="0.25">
      <c r="A4" s="4" t="s">
        <v>219</v>
      </c>
      <c r="B4" s="40">
        <v>100.88</v>
      </c>
    </row>
    <row r="5" spans="1:5" x14ac:dyDescent="0.25">
      <c r="A5" s="4" t="s">
        <v>220</v>
      </c>
      <c r="B5" s="40">
        <v>123.7</v>
      </c>
    </row>
    <row r="6" spans="1:5" x14ac:dyDescent="0.25">
      <c r="A6" s="4" t="s">
        <v>221</v>
      </c>
      <c r="B6" s="29">
        <f>(B5-B4)/B4</f>
        <v>0.22620935765265671</v>
      </c>
    </row>
    <row r="7" spans="1:5" x14ac:dyDescent="0.25">
      <c r="A7" s="4" t="s">
        <v>222</v>
      </c>
      <c r="B7" s="41" t="s">
        <v>223</v>
      </c>
    </row>
    <row r="9" spans="1:5" x14ac:dyDescent="0.25">
      <c r="B9" s="31" t="s">
        <v>208</v>
      </c>
      <c r="C9" s="31" t="s">
        <v>224</v>
      </c>
      <c r="D9" s="31" t="s">
        <v>225</v>
      </c>
      <c r="E9" s="31" t="s">
        <v>226</v>
      </c>
    </row>
    <row r="10" spans="1:5" x14ac:dyDescent="0.25">
      <c r="A10" t="s">
        <v>227</v>
      </c>
      <c r="B10" s="42">
        <v>13278</v>
      </c>
      <c r="C10" s="6">
        <f>B10</f>
        <v>13278</v>
      </c>
      <c r="D10" s="6">
        <f>B10</f>
        <v>13278</v>
      </c>
      <c r="E10" s="6">
        <f t="shared" ref="E10:E15" si="0">B10</f>
        <v>13278</v>
      </c>
    </row>
    <row r="11" spans="1:5" x14ac:dyDescent="0.25">
      <c r="A11" t="s">
        <v>228</v>
      </c>
      <c r="B11" s="43">
        <v>0.21</v>
      </c>
      <c r="C11" s="44">
        <v>0.21</v>
      </c>
      <c r="D11" s="11">
        <f>B11</f>
        <v>0.21</v>
      </c>
      <c r="E11" s="11">
        <f t="shared" si="0"/>
        <v>0.21</v>
      </c>
    </row>
    <row r="12" spans="1:5" x14ac:dyDescent="0.25">
      <c r="A12" t="s">
        <v>229</v>
      </c>
      <c r="B12" s="43">
        <v>0.153</v>
      </c>
      <c r="C12" s="11">
        <f t="shared" ref="C12:C20" si="1">B12</f>
        <v>0.153</v>
      </c>
      <c r="D12" s="11">
        <f>B12</f>
        <v>0.153</v>
      </c>
      <c r="E12" s="11">
        <f t="shared" si="0"/>
        <v>0.153</v>
      </c>
    </row>
    <row r="13" spans="1:5" x14ac:dyDescent="0.25">
      <c r="A13" t="s">
        <v>230</v>
      </c>
      <c r="B13" s="43">
        <v>0.21</v>
      </c>
      <c r="C13" s="11">
        <f t="shared" si="1"/>
        <v>0.21</v>
      </c>
      <c r="D13" s="44">
        <v>0.21</v>
      </c>
      <c r="E13" s="11">
        <f t="shared" si="0"/>
        <v>0.21</v>
      </c>
    </row>
    <row r="14" spans="1:5" x14ac:dyDescent="0.25">
      <c r="A14" t="s">
        <v>231</v>
      </c>
      <c r="B14" s="43">
        <v>1.2999999999999999E-2</v>
      </c>
      <c r="C14" s="11">
        <f t="shared" si="1"/>
        <v>1.2999999999999999E-2</v>
      </c>
      <c r="D14" s="11">
        <f t="shared" ref="D14:D20" si="2">B14</f>
        <v>1.2999999999999999E-2</v>
      </c>
      <c r="E14" s="11">
        <f t="shared" si="0"/>
        <v>1.2999999999999999E-2</v>
      </c>
    </row>
    <row r="15" spans="1:5" x14ac:dyDescent="0.25">
      <c r="A15" t="s">
        <v>71</v>
      </c>
      <c r="B15" s="43">
        <v>3.5000000000000003E-2</v>
      </c>
      <c r="C15" s="11">
        <f t="shared" si="1"/>
        <v>3.5000000000000003E-2</v>
      </c>
      <c r="D15" s="11">
        <f t="shared" si="2"/>
        <v>3.5000000000000003E-2</v>
      </c>
      <c r="E15" s="11">
        <f t="shared" si="0"/>
        <v>3.5000000000000003E-2</v>
      </c>
    </row>
    <row r="16" spans="1:5" x14ac:dyDescent="0.25">
      <c r="A16" t="s">
        <v>232</v>
      </c>
      <c r="B16" s="43">
        <v>9.4749114339026455E-2</v>
      </c>
      <c r="C16" s="11">
        <f t="shared" si="1"/>
        <v>9.4749114339026455E-2</v>
      </c>
      <c r="D16" s="11">
        <f t="shared" si="2"/>
        <v>9.4749114339026455E-2</v>
      </c>
      <c r="E16" s="44">
        <v>9.4749114339026455E-2</v>
      </c>
    </row>
    <row r="17" spans="1:5" x14ac:dyDescent="0.25">
      <c r="A17" t="s">
        <v>233</v>
      </c>
      <c r="B17" s="43">
        <v>0.23</v>
      </c>
      <c r="C17" s="11">
        <f t="shared" si="1"/>
        <v>0.23</v>
      </c>
      <c r="D17" s="11">
        <f t="shared" si="2"/>
        <v>0.23</v>
      </c>
      <c r="E17" s="11">
        <f>B17</f>
        <v>0.23</v>
      </c>
    </row>
    <row r="18" spans="1:5" x14ac:dyDescent="0.25">
      <c r="A18" t="s">
        <v>234</v>
      </c>
      <c r="B18" s="42">
        <v>25292.1</v>
      </c>
      <c r="C18" s="6">
        <f t="shared" si="1"/>
        <v>25292.1</v>
      </c>
      <c r="D18" s="6">
        <f t="shared" si="2"/>
        <v>25292.1</v>
      </c>
      <c r="E18" s="6">
        <f>B18</f>
        <v>25292.1</v>
      </c>
    </row>
    <row r="19" spans="1:5" x14ac:dyDescent="0.25">
      <c r="A19" t="s">
        <v>235</v>
      </c>
      <c r="B19" s="42">
        <v>15976.5</v>
      </c>
      <c r="C19" s="6">
        <f t="shared" si="1"/>
        <v>15976.5</v>
      </c>
      <c r="D19" s="6">
        <f t="shared" si="2"/>
        <v>15976.5</v>
      </c>
      <c r="E19" s="6">
        <f>B19</f>
        <v>15976.5</v>
      </c>
    </row>
    <row r="20" spans="1:5" x14ac:dyDescent="0.25">
      <c r="A20" t="s">
        <v>236</v>
      </c>
      <c r="B20" s="40">
        <v>1047.3</v>
      </c>
      <c r="C20" s="6">
        <f t="shared" si="1"/>
        <v>1047.3</v>
      </c>
      <c r="D20" s="6">
        <f t="shared" si="2"/>
        <v>1047.3</v>
      </c>
      <c r="E20" s="6">
        <f>B20</f>
        <v>1047.3</v>
      </c>
    </row>
    <row r="22" spans="1:5" x14ac:dyDescent="0.25">
      <c r="A22" t="s">
        <v>237</v>
      </c>
      <c r="B22" s="6">
        <f>B10*(1+B11)^1</f>
        <v>16066.38</v>
      </c>
      <c r="C22" s="6">
        <f>C10*(1+C11)^1</f>
        <v>16066.38</v>
      </c>
      <c r="D22" s="6">
        <f>D10*(1+D11)^1</f>
        <v>16066.38</v>
      </c>
      <c r="E22" s="6">
        <f>E10*(1+E11)^1</f>
        <v>16066.38</v>
      </c>
    </row>
    <row r="23" spans="1:5" x14ac:dyDescent="0.25">
      <c r="A23" t="s">
        <v>238</v>
      </c>
      <c r="B23" s="6">
        <f>B10*(1+B11)^2</f>
        <v>19440.319800000001</v>
      </c>
      <c r="C23" s="6">
        <f>C10*(1+C11)^2</f>
        <v>19440.319800000001</v>
      </c>
      <c r="D23" s="6">
        <f>D10*(1+D11)^2</f>
        <v>19440.319800000001</v>
      </c>
      <c r="E23" s="6">
        <f>E10*(1+E11)^2</f>
        <v>19440.319800000001</v>
      </c>
    </row>
    <row r="24" spans="1:5" x14ac:dyDescent="0.25">
      <c r="A24" t="s">
        <v>239</v>
      </c>
      <c r="B24" s="6">
        <f>B10*(1+B11)^3</f>
        <v>23522.786958000001</v>
      </c>
      <c r="C24" s="6">
        <f>C10*(1+C11)^3</f>
        <v>23522.786958000001</v>
      </c>
      <c r="D24" s="6">
        <f>D10*(1+D11)^3</f>
        <v>23522.786958000001</v>
      </c>
      <c r="E24" s="6">
        <f>E10*(1+E11)^3</f>
        <v>23522.786958000001</v>
      </c>
    </row>
    <row r="25" spans="1:5" x14ac:dyDescent="0.25">
      <c r="A25" t="s">
        <v>240</v>
      </c>
      <c r="B25" s="6">
        <f>B10*(1+B11)^4</f>
        <v>28462.572219179998</v>
      </c>
      <c r="C25" s="6">
        <f>C10*(1+C11)^4</f>
        <v>28462.572219179998</v>
      </c>
      <c r="D25" s="6">
        <f>D10*(1+D11)^4</f>
        <v>28462.572219179998</v>
      </c>
      <c r="E25" s="6">
        <f>E10*(1+E11)^4</f>
        <v>28462.572219179998</v>
      </c>
    </row>
    <row r="26" spans="1:5" x14ac:dyDescent="0.25">
      <c r="A26" t="s">
        <v>241</v>
      </c>
      <c r="B26" s="6">
        <f>B10*(1+B11)^5</f>
        <v>34439.712385207793</v>
      </c>
      <c r="C26" s="6">
        <f>C10*(1+C11)^5</f>
        <v>34439.712385207793</v>
      </c>
      <c r="D26" s="6">
        <f>D10*(1+D11)^5</f>
        <v>34439.712385207793</v>
      </c>
      <c r="E26" s="6">
        <f>E10*(1+E11)^5</f>
        <v>34439.712385207793</v>
      </c>
    </row>
    <row r="27" spans="1:5" x14ac:dyDescent="0.25">
      <c r="A27" t="s">
        <v>242</v>
      </c>
      <c r="B27" s="6">
        <f>B26*(1+(B11+(B15-B11)*1/5))</f>
        <v>40466.662052619162</v>
      </c>
      <c r="C27" s="6">
        <f>C26*(1+(C11+(C15-C11)*1/5))</f>
        <v>40466.662052619162</v>
      </c>
      <c r="D27" s="6">
        <f>D26*(1+(D11+(D15-D11)*1/5))</f>
        <v>40466.662052619162</v>
      </c>
      <c r="E27" s="6">
        <f>E26*(1+(E11+(E15-E11)*1/5))</f>
        <v>40466.662052619162</v>
      </c>
    </row>
    <row r="28" spans="1:5" x14ac:dyDescent="0.25">
      <c r="A28" t="s">
        <v>243</v>
      </c>
      <c r="B28" s="6">
        <f>B27*(1+(B11+(B15-B11)*2/5))</f>
        <v>46131.99473998585</v>
      </c>
      <c r="C28" s="6">
        <f>C27*(1+(C11+(C15-C11)*2/5))</f>
        <v>46131.99473998585</v>
      </c>
      <c r="D28" s="6">
        <f>D27*(1+(D11+(D15-D11)*2/5))</f>
        <v>46131.99473998585</v>
      </c>
      <c r="E28" s="6">
        <f>E27*(1+(E11+(E15-E11)*2/5))</f>
        <v>46131.99473998585</v>
      </c>
    </row>
    <row r="29" spans="1:5" x14ac:dyDescent="0.25">
      <c r="A29" t="s">
        <v>244</v>
      </c>
      <c r="B29" s="6">
        <f>B28*(1+(B11+(B15-B11)*3/5))</f>
        <v>50975.854187684366</v>
      </c>
      <c r="C29" s="6">
        <f>C28*(1+(C11+(C15-C11)*3/5))</f>
        <v>50975.854187684366</v>
      </c>
      <c r="D29" s="6">
        <f>D28*(1+(D11+(D15-D11)*3/5))</f>
        <v>50975.854187684366</v>
      </c>
      <c r="E29" s="6">
        <f>E28*(1+(E11+(E15-E11)*3/5))</f>
        <v>50975.854187684366</v>
      </c>
    </row>
    <row r="30" spans="1:5" x14ac:dyDescent="0.25">
      <c r="A30" t="s">
        <v>245</v>
      </c>
      <c r="B30" s="6">
        <f>B29*(1+(B11+(B15-B11)*4/5))</f>
        <v>54544.163980822275</v>
      </c>
      <c r="C30" s="6">
        <f>C29*(1+(C11+(C15-C11)*4/5))</f>
        <v>54544.163980822275</v>
      </c>
      <c r="D30" s="6">
        <f>D29*(1+(D11+(D15-D11)*4/5))</f>
        <v>54544.163980822275</v>
      </c>
      <c r="E30" s="6">
        <f>E29*(1+(E11+(E15-E11)*4/5))</f>
        <v>54544.163980822275</v>
      </c>
    </row>
    <row r="31" spans="1:5" x14ac:dyDescent="0.25">
      <c r="A31" t="s">
        <v>246</v>
      </c>
      <c r="B31" s="6">
        <f>B30*(1+(B11+(B15-B11)*5/5))</f>
        <v>56453.209720151048</v>
      </c>
      <c r="C31" s="6">
        <f>C30*(1+(C11+(C15-C11)*5/5))</f>
        <v>56453.209720151048</v>
      </c>
      <c r="D31" s="6">
        <f>D30*(1+(D11+(D15-D11)*5/5))</f>
        <v>56453.209720151048</v>
      </c>
      <c r="E31" s="6">
        <f>E30*(1+(E11+(E15-E11)*5/5))</f>
        <v>56453.209720151048</v>
      </c>
    </row>
    <row r="33" spans="1:5" x14ac:dyDescent="0.25">
      <c r="A33" t="s">
        <v>247</v>
      </c>
      <c r="B33" s="6">
        <f>B22*(B12+(B13-B12)*0/4)*(1-B17)-B22*B14</f>
        <v>1683.9172878000002</v>
      </c>
      <c r="C33" s="6">
        <f>C22*(C12+(C13-C12)*0/4)*(1-C17)-C22*C14</f>
        <v>1683.9172878000002</v>
      </c>
      <c r="D33" s="6">
        <f>D22*(D12+(D13-D12)*0/4)*(1-D17)-D22*D14</f>
        <v>1683.9172878000002</v>
      </c>
      <c r="E33" s="6">
        <f>E22*(E12+(E13-E12)*0/4)*(1-E17)-E22*E14</f>
        <v>1683.9172878000002</v>
      </c>
    </row>
    <row r="34" spans="1:5" x14ac:dyDescent="0.25">
      <c r="A34" t="s">
        <v>248</v>
      </c>
      <c r="B34" s="6">
        <f>B23*(B12+(B13-B12)*1/4)*(1-B17)-B23*B14</f>
        <v>2250.8488272435006</v>
      </c>
      <c r="C34" s="6">
        <f>C23*(C12+(C13-C12)*1/4)*(1-C17)-C23*C14</f>
        <v>2250.8488272435006</v>
      </c>
      <c r="D34" s="6">
        <f>D23*(D12+(D13-D12)*1/4)*(1-D17)-D23*D14</f>
        <v>2250.8488272435006</v>
      </c>
      <c r="E34" s="6">
        <f>E23*(E12+(E13-E12)*1/4)*(1-E17)-E23*E14</f>
        <v>2250.8488272435006</v>
      </c>
    </row>
    <row r="35" spans="1:5" x14ac:dyDescent="0.25">
      <c r="A35" t="s">
        <v>249</v>
      </c>
      <c r="B35" s="6">
        <f>B24*(B12+(B13-B12)*2/4)*(1-B17)-B24*B14</f>
        <v>2981.6308608612903</v>
      </c>
      <c r="C35" s="6">
        <f>C24*(C12+(C13-C12)*2/4)*(1-C17)-C24*C14</f>
        <v>2981.6308608612903</v>
      </c>
      <c r="D35" s="6">
        <f>D24*(D12+(D13-D12)*2/4)*(1-D17)-D24*D14</f>
        <v>2981.6308608612903</v>
      </c>
      <c r="E35" s="6">
        <f>E24*(E12+(E13-E12)*2/4)*(1-E17)-E24*E14</f>
        <v>2981.6308608612903</v>
      </c>
    </row>
    <row r="36" spans="1:5" x14ac:dyDescent="0.25">
      <c r="A36" t="s">
        <v>250</v>
      </c>
      <c r="B36" s="6">
        <f>B25*(B12+(B13-B12)*3/4)*(1-B17)-B25*B14</f>
        <v>3920.0789153171136</v>
      </c>
      <c r="C36" s="6">
        <f>C25*(C12+(C13-C12)*3/4)*(1-C17)-C25*C14</f>
        <v>3920.0789153171136</v>
      </c>
      <c r="D36" s="6">
        <f>D25*(D12+(D13-D12)*3/4)*(1-D17)-D25*D14</f>
        <v>3920.0789153171136</v>
      </c>
      <c r="E36" s="6">
        <f>E25*(E12+(E13-E12)*3/4)*(1-E17)-E25*E14</f>
        <v>3920.0789153171136</v>
      </c>
    </row>
    <row r="37" spans="1:5" x14ac:dyDescent="0.25">
      <c r="A37" t="s">
        <v>251</v>
      </c>
      <c r="B37" s="6">
        <f>B26*(B12+(B13-B12)*4/4)*(1-B17)-B26*B14</f>
        <v>5121.1852316803988</v>
      </c>
      <c r="C37" s="6">
        <f>C26*(C12+(C13-C12)*4/4)*(1-C17)-C26*C14</f>
        <v>5121.1852316803988</v>
      </c>
      <c r="D37" s="6">
        <f>D26*(D12+(D13-D12)*4/4)*(1-D17)-D26*D14</f>
        <v>5121.1852316803988</v>
      </c>
      <c r="E37" s="6">
        <f>E26*(E12+(E13-E12)*4/4)*(1-E17)-E26*E14</f>
        <v>5121.1852316803988</v>
      </c>
    </row>
    <row r="38" spans="1:5" x14ac:dyDescent="0.25">
      <c r="A38" t="s">
        <v>252</v>
      </c>
      <c r="B38" s="6">
        <f>B27*B13*(1-B17)-B27*B14</f>
        <v>6017.3926472244684</v>
      </c>
      <c r="C38" s="6">
        <f>C27*C13*(1-C17)-C27*C14</f>
        <v>6017.3926472244684</v>
      </c>
      <c r="D38" s="6">
        <f>D27*D13*(1-D17)-D27*D14</f>
        <v>6017.3926472244684</v>
      </c>
      <c r="E38" s="6">
        <f>E27*E13*(1-E17)-E27*E14</f>
        <v>6017.3926472244684</v>
      </c>
    </row>
    <row r="39" spans="1:5" x14ac:dyDescent="0.25">
      <c r="A39" t="s">
        <v>253</v>
      </c>
      <c r="B39" s="6">
        <f>B28*B13*(1-B17)-B28*B14</f>
        <v>6859.8276178358965</v>
      </c>
      <c r="C39" s="6">
        <f>C28*C13*(1-C17)-C28*C14</f>
        <v>6859.8276178358965</v>
      </c>
      <c r="D39" s="6">
        <f>D28*D13*(1-D17)-D28*D14</f>
        <v>6859.8276178358965</v>
      </c>
      <c r="E39" s="6">
        <f>E28*E13*(1-E17)-E28*E14</f>
        <v>6859.8276178358965</v>
      </c>
    </row>
    <row r="40" spans="1:5" x14ac:dyDescent="0.25">
      <c r="A40" t="s">
        <v>254</v>
      </c>
      <c r="B40" s="6">
        <f>B29*B13*(1-B17)-B29*B14</f>
        <v>7580.1095177086654</v>
      </c>
      <c r="C40" s="6">
        <f>C29*C13*(1-C17)-C29*C14</f>
        <v>7580.1095177086654</v>
      </c>
      <c r="D40" s="6">
        <f>D29*D13*(1-D17)-D29*D14</f>
        <v>7580.1095177086654</v>
      </c>
      <c r="E40" s="6">
        <f>E29*E13*(1-E17)-E29*E14</f>
        <v>7580.1095177086654</v>
      </c>
    </row>
    <row r="41" spans="1:5" x14ac:dyDescent="0.25">
      <c r="A41" t="s">
        <v>255</v>
      </c>
      <c r="B41" s="6">
        <f>B30*B13*(1-B17)-B30*B14</f>
        <v>8110.7171839482726</v>
      </c>
      <c r="C41" s="6">
        <f>C30*C13*(1-C17)-C30*C14</f>
        <v>8110.7171839482726</v>
      </c>
      <c r="D41" s="6">
        <f>D30*D13*(1-D17)-D30*D14</f>
        <v>8110.7171839482726</v>
      </c>
      <c r="E41" s="6">
        <f>E30*E13*(1-E17)-E30*E14</f>
        <v>8110.7171839482726</v>
      </c>
    </row>
    <row r="42" spans="1:5" x14ac:dyDescent="0.25">
      <c r="A42" t="s">
        <v>256</v>
      </c>
      <c r="B42" s="6">
        <f>B31*B13*(1-B17)-B31*B14</f>
        <v>8394.5922853864595</v>
      </c>
      <c r="C42" s="6">
        <f>C31*C13*(1-C17)-C31*C14</f>
        <v>8394.5922853864595</v>
      </c>
      <c r="D42" s="6">
        <f>D31*D13*(1-D17)-D31*D14</f>
        <v>8394.5922853864595</v>
      </c>
      <c r="E42" s="6">
        <f>E31*E13*(1-E17)-E31*E14</f>
        <v>8394.5922853864595</v>
      </c>
    </row>
    <row r="44" spans="1:5" x14ac:dyDescent="0.25">
      <c r="A44" t="s">
        <v>113</v>
      </c>
      <c r="B44" s="6">
        <f>B33/(1+B16)^1</f>
        <v>1538.1764330695021</v>
      </c>
      <c r="C44" s="6">
        <f>C33/(1+C16)^1</f>
        <v>1538.1764330695021</v>
      </c>
      <c r="D44" s="6">
        <f>D33/(1+D16)^1</f>
        <v>1538.1764330695021</v>
      </c>
      <c r="E44" s="6">
        <f>E33/(1+E16)^1</f>
        <v>1538.1764330695021</v>
      </c>
    </row>
    <row r="45" spans="1:5" x14ac:dyDescent="0.25">
      <c r="A45" t="s">
        <v>114</v>
      </c>
      <c r="B45" s="6">
        <f>B34/(1+B16)^2</f>
        <v>1878.0931237960817</v>
      </c>
      <c r="C45" s="6">
        <f>C34/(1+C16)^2</f>
        <v>1878.0931237960817</v>
      </c>
      <c r="D45" s="6">
        <f>D34/(1+D16)^2</f>
        <v>1878.0931237960817</v>
      </c>
      <c r="E45" s="6">
        <f>E34/(1+E16)^2</f>
        <v>1878.0931237960817</v>
      </c>
    </row>
    <row r="46" spans="1:5" x14ac:dyDescent="0.25">
      <c r="A46" t="s">
        <v>115</v>
      </c>
      <c r="B46" s="6">
        <f>B35/(1+B16)^3</f>
        <v>2272.5323138655431</v>
      </c>
      <c r="C46" s="6">
        <f>C35/(1+C16)^3</f>
        <v>2272.5323138655431</v>
      </c>
      <c r="D46" s="6">
        <f>D35/(1+D16)^3</f>
        <v>2272.5323138655431</v>
      </c>
      <c r="E46" s="6">
        <f>E35/(1+E16)^3</f>
        <v>2272.5323138655431</v>
      </c>
    </row>
    <row r="47" spans="1:5" x14ac:dyDescent="0.25">
      <c r="A47" t="s">
        <v>116</v>
      </c>
      <c r="B47" s="6">
        <f>B36/(1+B16)^4</f>
        <v>2729.2065182460042</v>
      </c>
      <c r="C47" s="6">
        <f>C36/(1+C16)^4</f>
        <v>2729.2065182460042</v>
      </c>
      <c r="D47" s="6">
        <f>D36/(1+D16)^4</f>
        <v>2729.2065182460042</v>
      </c>
      <c r="E47" s="6">
        <f>E36/(1+E16)^4</f>
        <v>2729.2065182460042</v>
      </c>
    </row>
    <row r="48" spans="1:5" x14ac:dyDescent="0.25">
      <c r="A48" t="s">
        <v>117</v>
      </c>
      <c r="B48" s="6">
        <f>B37/(1+B16)^5</f>
        <v>3256.8478628052558</v>
      </c>
      <c r="C48" s="6">
        <f>C37/(1+C16)^5</f>
        <v>3256.8478628052558</v>
      </c>
      <c r="D48" s="6">
        <f>D37/(1+D16)^5</f>
        <v>3256.8478628052558</v>
      </c>
      <c r="E48" s="6">
        <f>E37/(1+E16)^5</f>
        <v>3256.8478628052558</v>
      </c>
    </row>
    <row r="49" spans="1:5" x14ac:dyDescent="0.25">
      <c r="A49" t="s">
        <v>149</v>
      </c>
      <c r="B49" s="6">
        <f>B38/(1+B16)^6</f>
        <v>3495.5919933369114</v>
      </c>
      <c r="C49" s="6">
        <f>C38/(1+C16)^6</f>
        <v>3495.5919933369114</v>
      </c>
      <c r="D49" s="6">
        <f>D38/(1+D16)^6</f>
        <v>3495.5919933369114</v>
      </c>
      <c r="E49" s="6">
        <f>E38/(1+E16)^6</f>
        <v>3495.5919933369114</v>
      </c>
    </row>
    <row r="50" spans="1:5" x14ac:dyDescent="0.25">
      <c r="A50" t="s">
        <v>150</v>
      </c>
      <c r="B50" s="6">
        <f>B39/(1+B16)^7</f>
        <v>3640.0804715974373</v>
      </c>
      <c r="C50" s="6">
        <f>C39/(1+C16)^7</f>
        <v>3640.0804715974373</v>
      </c>
      <c r="D50" s="6">
        <f>D39/(1+D16)^7</f>
        <v>3640.0804715974373</v>
      </c>
      <c r="E50" s="6">
        <f>E39/(1+E16)^7</f>
        <v>3640.0804715974373</v>
      </c>
    </row>
    <row r="51" spans="1:5" x14ac:dyDescent="0.25">
      <c r="A51" t="s">
        <v>151</v>
      </c>
      <c r="B51" s="6">
        <f>B40/(1+B16)^8</f>
        <v>3674.1650378440313</v>
      </c>
      <c r="C51" s="6">
        <f>C40/(1+C16)^8</f>
        <v>3674.1650378440313</v>
      </c>
      <c r="D51" s="6">
        <f>D40/(1+D16)^8</f>
        <v>3674.1650378440313</v>
      </c>
      <c r="E51" s="6">
        <f>E40/(1+E16)^8</f>
        <v>3674.1650378440313</v>
      </c>
    </row>
    <row r="52" spans="1:5" x14ac:dyDescent="0.25">
      <c r="A52" t="s">
        <v>152</v>
      </c>
      <c r="B52" s="6">
        <f>B41/(1+B16)^9</f>
        <v>3591.102782363736</v>
      </c>
      <c r="C52" s="6">
        <f>C41/(1+C16)^9</f>
        <v>3591.102782363736</v>
      </c>
      <c r="D52" s="6">
        <f>D41/(1+D16)^9</f>
        <v>3591.102782363736</v>
      </c>
      <c r="E52" s="6">
        <f>E41/(1+E16)^9</f>
        <v>3591.102782363736</v>
      </c>
    </row>
    <row r="53" spans="1:5" x14ac:dyDescent="0.25">
      <c r="A53" t="s">
        <v>153</v>
      </c>
      <c r="B53" s="6">
        <f>B42/(1+B16)^10</f>
        <v>3395.1079119991268</v>
      </c>
      <c r="C53" s="6">
        <f>C42/(1+C16)^10</f>
        <v>3395.1079119991268</v>
      </c>
      <c r="D53" s="6">
        <f>D42/(1+D16)^10</f>
        <v>3395.1079119991268</v>
      </c>
      <c r="E53" s="6">
        <f>E42/(1+E16)^10</f>
        <v>3395.1079119991268</v>
      </c>
    </row>
    <row r="54" spans="1:5" x14ac:dyDescent="0.25">
      <c r="A54" t="s">
        <v>155</v>
      </c>
      <c r="B54" s="6">
        <f>SUM(B44:B53)</f>
        <v>29470.904448923626</v>
      </c>
      <c r="C54" s="6">
        <f>SUM(C44:C53)</f>
        <v>29470.904448923626</v>
      </c>
      <c r="D54" s="6">
        <f>SUM(D44:D53)</f>
        <v>29470.904448923626</v>
      </c>
      <c r="E54" s="6">
        <f>SUM(E44:E53)</f>
        <v>29470.904448923626</v>
      </c>
    </row>
    <row r="55" spans="1:5" x14ac:dyDescent="0.25">
      <c r="A55" t="s">
        <v>156</v>
      </c>
      <c r="B55" s="6">
        <f>B42*(1+B15)/MAX(B16-B15,0.01)</f>
        <v>145414.75821843208</v>
      </c>
      <c r="C55" s="6">
        <f>C42*(1+C15)/MAX(C16-C15,0.01)</f>
        <v>145414.75821843208</v>
      </c>
      <c r="D55" s="6">
        <f>D42*(1+D15)/MAX(D16-D15,0.01)</f>
        <v>145414.75821843208</v>
      </c>
      <c r="E55" s="6">
        <f>E42*(1+E15)/MAX(E16-E15,0.01)</f>
        <v>145414.75821843208</v>
      </c>
    </row>
    <row r="56" spans="1:5" x14ac:dyDescent="0.25">
      <c r="A56" t="s">
        <v>157</v>
      </c>
      <c r="B56" s="6">
        <f>B55/(1+B16)^10</f>
        <v>58811.52763169731</v>
      </c>
      <c r="C56" s="6">
        <f>C55/(1+C16)^10</f>
        <v>58811.52763169731</v>
      </c>
      <c r="D56" s="6">
        <f>D55/(1+D16)^10</f>
        <v>58811.52763169731</v>
      </c>
      <c r="E56" s="6">
        <f>E55/(1+E16)^10</f>
        <v>58811.52763169731</v>
      </c>
    </row>
    <row r="57" spans="1:5" x14ac:dyDescent="0.25">
      <c r="A57" t="s">
        <v>257</v>
      </c>
      <c r="B57" s="6">
        <f>B54+B56</f>
        <v>88282.432080620929</v>
      </c>
      <c r="C57" s="6">
        <f>C54+C56</f>
        <v>88282.432080620929</v>
      </c>
      <c r="D57" s="6">
        <f>D54+D56</f>
        <v>88282.432080620929</v>
      </c>
      <c r="E57" s="6">
        <f>E54+E56</f>
        <v>88282.432080620929</v>
      </c>
    </row>
    <row r="58" spans="1:5" x14ac:dyDescent="0.25">
      <c r="A58" t="s">
        <v>258</v>
      </c>
      <c r="B58" s="6">
        <f>B57+B18+B19</f>
        <v>129551.03208062093</v>
      </c>
      <c r="C58" s="6">
        <f>C57+C18+C19</f>
        <v>129551.03208062093</v>
      </c>
      <c r="D58" s="6">
        <f>D57+D18+D19</f>
        <v>129551.03208062093</v>
      </c>
      <c r="E58" s="6">
        <f>E57+E18+E19</f>
        <v>129551.03208062093</v>
      </c>
    </row>
    <row r="59" spans="1:5" x14ac:dyDescent="0.25">
      <c r="A59" s="4" t="s">
        <v>259</v>
      </c>
      <c r="B59" s="32">
        <f>B58/B20</f>
        <v>123.70002108337719</v>
      </c>
      <c r="C59" s="32">
        <f>C58/C20</f>
        <v>123.70002108337719</v>
      </c>
      <c r="D59" s="32">
        <f>D58/D20</f>
        <v>123.70002108337719</v>
      </c>
      <c r="E59" s="32">
        <f>E58/E20</f>
        <v>123.70002108337719</v>
      </c>
    </row>
    <row r="60" spans="1:5" x14ac:dyDescent="0.25">
      <c r="A60" t="s">
        <v>260</v>
      </c>
      <c r="B60" s="6">
        <f>B59-B5</f>
        <v>2.1083377191644104E-5</v>
      </c>
      <c r="C60" s="6">
        <f>C59-B4</f>
        <v>22.820021083377199</v>
      </c>
      <c r="D60" s="6">
        <f>D59-B4</f>
        <v>22.820021083377199</v>
      </c>
      <c r="E60" s="6">
        <f>E59-B4</f>
        <v>22.820021083377199</v>
      </c>
    </row>
    <row r="62" spans="1:5" x14ac:dyDescent="0.25">
      <c r="A62" s="3" t="s">
        <v>261</v>
      </c>
    </row>
    <row r="63" spans="1:5" x14ac:dyDescent="0.25">
      <c r="A63" t="s">
        <v>262</v>
      </c>
      <c r="B63" s="45">
        <v>6.6909999999999998</v>
      </c>
    </row>
    <row r="64" spans="1:5" x14ac:dyDescent="0.25">
      <c r="A64" t="s">
        <v>263</v>
      </c>
      <c r="B64" s="46">
        <v>33.679000000000002</v>
      </c>
    </row>
    <row r="65" spans="1:3" x14ac:dyDescent="0.25">
      <c r="A65" t="s">
        <v>264</v>
      </c>
      <c r="B65" s="47">
        <v>57.462499999999999</v>
      </c>
    </row>
    <row r="66" spans="1:3" x14ac:dyDescent="0.25">
      <c r="A66" t="s">
        <v>265</v>
      </c>
      <c r="B66" s="47">
        <v>18.372714999999999</v>
      </c>
    </row>
    <row r="67" spans="1:3" x14ac:dyDescent="0.25">
      <c r="A67" t="s">
        <v>266</v>
      </c>
      <c r="B67" s="47">
        <v>8.0847700000000007</v>
      </c>
    </row>
    <row r="69" spans="1:3" x14ac:dyDescent="0.25">
      <c r="A69" s="4" t="s">
        <v>267</v>
      </c>
      <c r="B69" s="2" t="s">
        <v>268</v>
      </c>
      <c r="C69" s="2" t="s">
        <v>269</v>
      </c>
    </row>
    <row r="70" spans="1:3" x14ac:dyDescent="0.25">
      <c r="B70" s="48">
        <v>2025</v>
      </c>
      <c r="C70" s="49">
        <v>11.83</v>
      </c>
    </row>
    <row r="71" spans="1:3" x14ac:dyDescent="0.25">
      <c r="B71" s="48">
        <v>2024</v>
      </c>
      <c r="C71" s="49">
        <v>19.73</v>
      </c>
    </row>
    <row r="72" spans="1:3" x14ac:dyDescent="0.25">
      <c r="B72" s="48">
        <v>2023</v>
      </c>
      <c r="C72" s="49">
        <v>15.92</v>
      </c>
    </row>
    <row r="73" spans="1:3" x14ac:dyDescent="0.25">
      <c r="B73" s="48">
        <v>2022</v>
      </c>
      <c r="C73" s="49">
        <v>10.54</v>
      </c>
    </row>
    <row r="77" spans="1:3" x14ac:dyDescent="0.25">
      <c r="A77" s="3" t="s">
        <v>270</v>
      </c>
    </row>
    <row r="79" spans="1:3" x14ac:dyDescent="0.25">
      <c r="A79" t="s">
        <v>271</v>
      </c>
      <c r="B79" s="50">
        <v>109174</v>
      </c>
    </row>
    <row r="80" spans="1:3" x14ac:dyDescent="0.25">
      <c r="A80" t="s">
        <v>272</v>
      </c>
      <c r="B80" s="50">
        <v>133077</v>
      </c>
    </row>
    <row r="81" spans="1:2" x14ac:dyDescent="0.25">
      <c r="A81" t="s">
        <v>273</v>
      </c>
      <c r="B81" s="50">
        <v>3242</v>
      </c>
    </row>
    <row r="82" spans="1:2" x14ac:dyDescent="0.25">
      <c r="A82" t="s">
        <v>274</v>
      </c>
      <c r="B82" s="50">
        <v>3358</v>
      </c>
    </row>
    <row r="83" spans="1:2" x14ac:dyDescent="0.25">
      <c r="A83" s="4" t="s">
        <v>275</v>
      </c>
      <c r="B83" s="33">
        <f>IF(B81&gt;0,B79/B81,"")</f>
        <v>33.674892041949413</v>
      </c>
    </row>
    <row r="84" spans="1:2" x14ac:dyDescent="0.25">
      <c r="A84" s="4" t="s">
        <v>276</v>
      </c>
      <c r="B84" s="33">
        <f>IF(B81&gt;0,B80/B81,"")</f>
        <v>41.047809993830967</v>
      </c>
    </row>
    <row r="85" spans="1:2" x14ac:dyDescent="0.25">
      <c r="A85" s="4" t="s">
        <v>277</v>
      </c>
      <c r="B85" s="33">
        <f>IF(B82&gt;0,B79/B82,"")</f>
        <v>32.511614055985703</v>
      </c>
    </row>
    <row r="86" spans="1:2" x14ac:dyDescent="0.25">
      <c r="A86" s="4" t="s">
        <v>278</v>
      </c>
      <c r="B86" s="33">
        <f>IF(B82&gt;0,B80/B82,"")</f>
        <v>39.629839189994044</v>
      </c>
    </row>
    <row r="88" spans="1:2" x14ac:dyDescent="0.25">
      <c r="A88" s="4" t="s">
        <v>279</v>
      </c>
    </row>
    <row r="89" spans="1:2" x14ac:dyDescent="0.25">
      <c r="A89" t="s">
        <v>280</v>
      </c>
      <c r="B89" s="46">
        <v>51.96</v>
      </c>
    </row>
    <row r="90" spans="1:2" x14ac:dyDescent="0.25">
      <c r="A90" t="s">
        <v>281</v>
      </c>
      <c r="B90" s="46">
        <v>95.06</v>
      </c>
    </row>
    <row r="91" spans="1:2" x14ac:dyDescent="0.25">
      <c r="A91" t="s">
        <v>282</v>
      </c>
      <c r="B91" s="46">
        <v>107.87</v>
      </c>
    </row>
    <row r="93" spans="1:2" x14ac:dyDescent="0.25">
      <c r="A93" s="4" t="s">
        <v>283</v>
      </c>
      <c r="B93" s="51" t="s">
        <v>284</v>
      </c>
    </row>
    <row r="94" spans="1:2" x14ac:dyDescent="0.25">
      <c r="A94" t="s">
        <v>285</v>
      </c>
      <c r="B94" s="41" t="s">
        <v>286</v>
      </c>
    </row>
    <row r="96" spans="1:2" x14ac:dyDescent="0.25">
      <c r="A96" s="3" t="s">
        <v>287</v>
      </c>
    </row>
    <row r="97" spans="1:5" x14ac:dyDescent="0.25">
      <c r="A97" s="4" t="s">
        <v>288</v>
      </c>
      <c r="B97" s="52">
        <v>1.091</v>
      </c>
    </row>
    <row r="98" spans="1:5" x14ac:dyDescent="0.25">
      <c r="A98" t="s">
        <v>289</v>
      </c>
      <c r="B98" s="46">
        <v>11.94</v>
      </c>
      <c r="C98" s="46">
        <v>12.35</v>
      </c>
      <c r="D98" s="46">
        <v>20.53</v>
      </c>
    </row>
    <row r="99" spans="1:5" x14ac:dyDescent="0.25">
      <c r="A99" s="4" t="s">
        <v>290</v>
      </c>
      <c r="B99" s="4" t="s">
        <v>291</v>
      </c>
      <c r="C99" s="4" t="s">
        <v>292</v>
      </c>
      <c r="D99" s="4" t="s">
        <v>293</v>
      </c>
      <c r="E99" s="4" t="s">
        <v>294</v>
      </c>
    </row>
    <row r="100" spans="1:5" x14ac:dyDescent="0.25">
      <c r="A100" s="48" t="s">
        <v>295</v>
      </c>
      <c r="B100" s="53">
        <v>0.92800000000000005</v>
      </c>
      <c r="C100" s="53">
        <v>1.1579999999999999</v>
      </c>
      <c r="D100" s="53">
        <v>0.33100000000000002</v>
      </c>
      <c r="E100" s="54">
        <v>12.349</v>
      </c>
    </row>
    <row r="101" spans="1:5" x14ac:dyDescent="0.25">
      <c r="A101" s="48" t="s">
        <v>296</v>
      </c>
      <c r="B101" s="53">
        <v>0.97</v>
      </c>
      <c r="C101" s="53">
        <v>0.97</v>
      </c>
      <c r="D101" s="53">
        <v>0</v>
      </c>
      <c r="E101" s="54">
        <v>11.936</v>
      </c>
    </row>
    <row r="102" spans="1:5" x14ac:dyDescent="0.25">
      <c r="A102" s="48" t="s">
        <v>297</v>
      </c>
      <c r="B102" s="53">
        <v>0.97899999999999998</v>
      </c>
      <c r="C102" s="53">
        <v>1.3340000000000001</v>
      </c>
      <c r="D102" s="53">
        <v>0.48399999999999999</v>
      </c>
      <c r="E102" s="54">
        <v>15.964</v>
      </c>
    </row>
    <row r="103" spans="1:5" x14ac:dyDescent="0.25">
      <c r="A103" s="48" t="s">
        <v>298</v>
      </c>
      <c r="B103" s="53">
        <v>0.94399999999999995</v>
      </c>
      <c r="C103" s="53">
        <v>1.0069999999999999</v>
      </c>
      <c r="D103" s="53">
        <v>0.09</v>
      </c>
      <c r="E103" s="54">
        <v>12.032999999999999</v>
      </c>
    </row>
    <row r="104" spans="1:5" x14ac:dyDescent="0.25">
      <c r="A104" s="48" t="s">
        <v>299</v>
      </c>
      <c r="B104" s="53">
        <v>1.0029999999999999</v>
      </c>
      <c r="C104" s="53">
        <v>1.0940000000000001</v>
      </c>
      <c r="D104" s="53">
        <v>0.12</v>
      </c>
      <c r="E104" s="54">
        <v>20.526</v>
      </c>
    </row>
    <row r="105" spans="1:5" x14ac:dyDescent="0.25">
      <c r="A105" s="48" t="s">
        <v>6</v>
      </c>
      <c r="B105" s="53">
        <v>1.091</v>
      </c>
      <c r="C105" s="53">
        <v>1.1040000000000001</v>
      </c>
      <c r="D105" s="53">
        <v>1.6E-2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140625" defaultRowHeight="15" x14ac:dyDescent="0.25"/>
  <cols>
    <col min="1" max="1" width="36" customWidth="1"/>
    <col min="2" max="2" width="18" customWidth="1"/>
  </cols>
  <sheetData>
    <row r="1" spans="1:2" ht="15.75" customHeight="1" x14ac:dyDescent="0.25">
      <c r="A1" s="34" t="s">
        <v>300</v>
      </c>
    </row>
    <row r="2" spans="1:2" x14ac:dyDescent="0.25">
      <c r="A2" s="2" t="s">
        <v>301</v>
      </c>
    </row>
    <row r="4" spans="1:2" x14ac:dyDescent="0.25">
      <c r="A4" s="4" t="s">
        <v>302</v>
      </c>
      <c r="B4" s="30" t="s">
        <v>303</v>
      </c>
    </row>
    <row r="5" spans="1:2" x14ac:dyDescent="0.25">
      <c r="A5" s="4" t="s">
        <v>304</v>
      </c>
      <c r="B5" s="30" t="s">
        <v>305</v>
      </c>
    </row>
    <row r="6" spans="1:2" x14ac:dyDescent="0.25">
      <c r="A6" s="4" t="s">
        <v>306</v>
      </c>
      <c r="B6" s="30" t="s">
        <v>307</v>
      </c>
    </row>
    <row r="7" spans="1:2" x14ac:dyDescent="0.25">
      <c r="A7" s="4" t="s">
        <v>308</v>
      </c>
      <c r="B7" s="30" t="s">
        <v>309</v>
      </c>
    </row>
    <row r="8" spans="1:2" x14ac:dyDescent="0.25">
      <c r="A8" s="4" t="s">
        <v>310</v>
      </c>
      <c r="B8" s="30" t="s">
        <v>311</v>
      </c>
    </row>
    <row r="9" spans="1:2" x14ac:dyDescent="0.25">
      <c r="A9" s="4" t="s">
        <v>312</v>
      </c>
      <c r="B9" s="30" t="s">
        <v>313</v>
      </c>
    </row>
    <row r="10" spans="1:2" x14ac:dyDescent="0.25">
      <c r="A10" s="4" t="s">
        <v>314</v>
      </c>
      <c r="B10" s="30" t="s">
        <v>209</v>
      </c>
    </row>
    <row r="11" spans="1:2" x14ac:dyDescent="0.25">
      <c r="A11" s="4" t="s">
        <v>315</v>
      </c>
      <c r="B11" s="30" t="s">
        <v>316</v>
      </c>
    </row>
    <row r="12" spans="1:2" x14ac:dyDescent="0.25">
      <c r="A12" s="4" t="s">
        <v>317</v>
      </c>
      <c r="B12" s="30" t="s">
        <v>318</v>
      </c>
    </row>
    <row r="13" spans="1:2" x14ac:dyDescent="0.25">
      <c r="A13" s="4" t="s">
        <v>319</v>
      </c>
      <c r="B13" s="30" t="s">
        <v>320</v>
      </c>
    </row>
    <row r="14" spans="1:2" x14ac:dyDescent="0.25">
      <c r="A14" s="4" t="s">
        <v>321</v>
      </c>
      <c r="B14" s="30" t="s">
        <v>207</v>
      </c>
    </row>
    <row r="15" spans="1:2" x14ac:dyDescent="0.25">
      <c r="A15" s="4" t="s">
        <v>322</v>
      </c>
      <c r="B15" s="30" t="s">
        <v>209</v>
      </c>
    </row>
    <row r="16" spans="1:2" x14ac:dyDescent="0.25">
      <c r="A16" s="4" t="s">
        <v>323</v>
      </c>
      <c r="B16" s="30" t="s">
        <v>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2026-07-23T17:13:11Z</dcterms:created>
  <dcterms:modified xsi:type="dcterms:W3CDTF">2026-07-24T11:31:23Z</dcterms:modified>
</cp:coreProperties>
</file>