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anni\Documents\Claude\Projects\FinSurf\output\SGL_Carbon\2026-08-04_run1\"/>
    </mc:Choice>
  </mc:AlternateContent>
  <xr:revisionPtr revIDLastSave="0" documentId="13_ncr:1_{64E7CB54-D418-4762-BA90-E4457B154941}" xr6:coauthVersionLast="47" xr6:coauthVersionMax="47" xr10:uidLastSave="{00000000-0000-0000-0000-000000000000}"/>
  <bookViews>
    <workbookView xWindow="2966" yWindow="2957" windowWidth="18514" windowHeight="9394" xr2:uid="{00000000-000D-0000-FFFF-FFFF00000000}"/>
  </bookViews>
  <sheets>
    <sheet name="Inputs" sheetId="1" r:id="rId1"/>
    <sheet name="DCF Base" sheetId="2" r:id="rId2"/>
    <sheet name="DCF Bull" sheetId="3" r:id="rId3"/>
    <sheet name="DCF Bear" sheetId="4" r:id="rId4"/>
    <sheet name="Adjustments" sheetId="5" r:id="rId5"/>
    <sheet name="Szenarien" sheetId="6" r:id="rId6"/>
    <sheet name="Markt-implizit" sheetId="7" r:id="rId7"/>
    <sheet name="Outputs" sheetId="8" r:id="rId8"/>
  </sheets>
  <definedNames>
    <definedName name="OUT_EQUITY">'DCF Base'!$K$119</definedName>
    <definedName name="OUT_GROUP_EV">'DCF Base'!$K$109</definedName>
    <definedName name="OUT_MINORITY">Inputs!$B$15</definedName>
    <definedName name="OUT_NET_DEBT">Inputs!$B$14</definedName>
    <definedName name="OUT_PRICE_TARGET">'DCF Base'!$K$122</definedName>
    <definedName name="OUT_SEG_EV_1">'DCF Base'!$C$109</definedName>
    <definedName name="OUT_SEG_EV_2">'DCF Base'!$D$109</definedName>
    <definedName name="OUT_SEG_EV_3">'DCF Base'!$E$109</definedName>
    <definedName name="OUT_SEG_EV_4">'DCF Base'!$F$109</definedName>
    <definedName name="OUT_SEG_EV_5">'DCF Base'!$G$109</definedName>
    <definedName name="OUT_SEG_EV_6">'DCF Base'!$H$109</definedName>
    <definedName name="OUT_SEG_EV_7">'DCF Base'!$I$109</definedName>
    <definedName name="OUT_SEG_EV_8">'DCF Base'!$J$109</definedName>
    <definedName name="OUT_SEG_WACC_1">'DCF Base'!$C$16</definedName>
    <definedName name="OUT_SEG_WACC_2">'DCF Base'!$D$16</definedName>
    <definedName name="OUT_SEG_WACC_3">'DCF Base'!$E$16</definedName>
    <definedName name="OUT_SEG_WACC_4">'DCF Base'!$F$16</definedName>
    <definedName name="OUT_SEG_WACC_5">'DCF Base'!$G$16</definedName>
    <definedName name="OUT_SEG_WACC_6">'DCF Base'!$H$16</definedName>
    <definedName name="OUT_SEG_WACC_7">'DCF Base'!$I$16</definedName>
    <definedName name="OUT_SEG_WACC_8">'DCF Base'!$J$16</definedName>
    <definedName name="OUT_SHARES">Inputs!$B$11</definedName>
    <definedName name="OUT_WACC">'DCF Base'!$K$110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6" i="7" l="1"/>
  <c r="B85" i="7"/>
  <c r="B84" i="7"/>
  <c r="B83" i="7"/>
  <c r="B26" i="7"/>
  <c r="B37" i="7" s="1"/>
  <c r="B48" i="7" s="1"/>
  <c r="E25" i="7"/>
  <c r="C25" i="7"/>
  <c r="B25" i="7"/>
  <c r="B36" i="7" s="1"/>
  <c r="B47" i="7" s="1"/>
  <c r="E24" i="7"/>
  <c r="D24" i="7"/>
  <c r="B24" i="7"/>
  <c r="B35" i="7" s="1"/>
  <c r="B46" i="7" s="1"/>
  <c r="E23" i="7"/>
  <c r="D23" i="7"/>
  <c r="B23" i="7"/>
  <c r="B34" i="7" s="1"/>
  <c r="B45" i="7" s="1"/>
  <c r="E22" i="7"/>
  <c r="B22" i="7"/>
  <c r="B33" i="7" s="1"/>
  <c r="B44" i="7" s="1"/>
  <c r="E20" i="7"/>
  <c r="D20" i="7"/>
  <c r="C20" i="7"/>
  <c r="E19" i="7"/>
  <c r="D19" i="7"/>
  <c r="C19" i="7"/>
  <c r="E18" i="7"/>
  <c r="D18" i="7"/>
  <c r="C18" i="7"/>
  <c r="E17" i="7"/>
  <c r="D17" i="7"/>
  <c r="C17" i="7"/>
  <c r="D16" i="7"/>
  <c r="C16" i="7"/>
  <c r="E15" i="7"/>
  <c r="D15" i="7"/>
  <c r="C15" i="7"/>
  <c r="E14" i="7"/>
  <c r="D14" i="7"/>
  <c r="C14" i="7"/>
  <c r="E13" i="7"/>
  <c r="C13" i="7"/>
  <c r="E12" i="7"/>
  <c r="D12" i="7"/>
  <c r="C12" i="7"/>
  <c r="E11" i="7"/>
  <c r="D11" i="7"/>
  <c r="E10" i="7"/>
  <c r="E26" i="7" s="1"/>
  <c r="D10" i="7"/>
  <c r="D26" i="7" s="1"/>
  <c r="C10" i="7"/>
  <c r="C26" i="7" s="1"/>
  <c r="B6" i="7"/>
  <c r="D9" i="5"/>
  <c r="D8" i="5"/>
  <c r="D7" i="5"/>
  <c r="D6" i="5"/>
  <c r="D5" i="5"/>
  <c r="K120" i="4"/>
  <c r="J106" i="4"/>
  <c r="I106" i="4"/>
  <c r="H106" i="4"/>
  <c r="G106" i="4"/>
  <c r="J73" i="4"/>
  <c r="I73" i="4"/>
  <c r="H73" i="4"/>
  <c r="G73" i="4"/>
  <c r="F73" i="4"/>
  <c r="E73" i="4"/>
  <c r="D73" i="4"/>
  <c r="C73" i="4"/>
  <c r="J72" i="4"/>
  <c r="I72" i="4"/>
  <c r="H72" i="4"/>
  <c r="G72" i="4"/>
  <c r="F72" i="4"/>
  <c r="E72" i="4"/>
  <c r="D72" i="4"/>
  <c r="C72" i="4"/>
  <c r="J71" i="4"/>
  <c r="I71" i="4"/>
  <c r="H71" i="4"/>
  <c r="G71" i="4"/>
  <c r="F71" i="4"/>
  <c r="E71" i="4"/>
  <c r="D71" i="4"/>
  <c r="C71" i="4"/>
  <c r="J70" i="4"/>
  <c r="I70" i="4"/>
  <c r="H70" i="4"/>
  <c r="G70" i="4"/>
  <c r="F70" i="4"/>
  <c r="E70" i="4"/>
  <c r="D70" i="4"/>
  <c r="C70" i="4"/>
  <c r="J69" i="4"/>
  <c r="I69" i="4"/>
  <c r="H69" i="4"/>
  <c r="G69" i="4"/>
  <c r="F69" i="4"/>
  <c r="E69" i="4"/>
  <c r="D69" i="4"/>
  <c r="C69" i="4"/>
  <c r="F63" i="4"/>
  <c r="E63" i="4"/>
  <c r="E87" i="4" s="1"/>
  <c r="H48" i="4"/>
  <c r="F48" i="4"/>
  <c r="D48" i="4"/>
  <c r="E47" i="4"/>
  <c r="H46" i="4"/>
  <c r="G46" i="4"/>
  <c r="E46" i="4"/>
  <c r="D46" i="4"/>
  <c r="C46" i="4"/>
  <c r="J45" i="4"/>
  <c r="H45" i="4"/>
  <c r="G45" i="4"/>
  <c r="J33" i="4"/>
  <c r="J39" i="4" s="1"/>
  <c r="J51" i="4" s="1"/>
  <c r="H33" i="4"/>
  <c r="H39" i="4" s="1"/>
  <c r="F33" i="4"/>
  <c r="F39" i="4" s="1"/>
  <c r="C33" i="4"/>
  <c r="C39" i="4" s="1"/>
  <c r="C51" i="4" s="1"/>
  <c r="J31" i="4"/>
  <c r="I31" i="4"/>
  <c r="H31" i="4"/>
  <c r="G31" i="4"/>
  <c r="F31" i="4"/>
  <c r="E31" i="4"/>
  <c r="D31" i="4"/>
  <c r="C31" i="4"/>
  <c r="J30" i="4"/>
  <c r="I30" i="4"/>
  <c r="H30" i="4"/>
  <c r="H36" i="4" s="1"/>
  <c r="H42" i="4" s="1"/>
  <c r="H54" i="4" s="1"/>
  <c r="G30" i="4"/>
  <c r="G36" i="4" s="1"/>
  <c r="G42" i="4" s="1"/>
  <c r="G54" i="4" s="1"/>
  <c r="F30" i="4"/>
  <c r="F36" i="4" s="1"/>
  <c r="F42" i="4" s="1"/>
  <c r="F54" i="4" s="1"/>
  <c r="E30" i="4"/>
  <c r="E36" i="4" s="1"/>
  <c r="E42" i="4" s="1"/>
  <c r="E54" i="4" s="1"/>
  <c r="D30" i="4"/>
  <c r="D36" i="4" s="1"/>
  <c r="D42" i="4" s="1"/>
  <c r="D54" i="4" s="1"/>
  <c r="C30" i="4"/>
  <c r="C36" i="4" s="1"/>
  <c r="C42" i="4" s="1"/>
  <c r="C54" i="4" s="1"/>
  <c r="J29" i="4"/>
  <c r="J35" i="4" s="1"/>
  <c r="J41" i="4" s="1"/>
  <c r="J53" i="4" s="1"/>
  <c r="I29" i="4"/>
  <c r="I35" i="4" s="1"/>
  <c r="I41" i="4" s="1"/>
  <c r="I53" i="4" s="1"/>
  <c r="H29" i="4"/>
  <c r="G29" i="4"/>
  <c r="F29" i="4"/>
  <c r="E29" i="4"/>
  <c r="E35" i="4" s="1"/>
  <c r="E41" i="4" s="1"/>
  <c r="D29" i="4"/>
  <c r="C29" i="4"/>
  <c r="J28" i="4"/>
  <c r="I28" i="4"/>
  <c r="H28" i="4"/>
  <c r="G28" i="4"/>
  <c r="F28" i="4"/>
  <c r="E28" i="4"/>
  <c r="D28" i="4"/>
  <c r="C28" i="4"/>
  <c r="J27" i="4"/>
  <c r="I27" i="4"/>
  <c r="I33" i="4" s="1"/>
  <c r="I39" i="4" s="1"/>
  <c r="I51" i="4" s="1"/>
  <c r="H27" i="4"/>
  <c r="G27" i="4"/>
  <c r="F27" i="4"/>
  <c r="E27" i="4"/>
  <c r="D27" i="4"/>
  <c r="D33" i="4" s="1"/>
  <c r="D39" i="4" s="1"/>
  <c r="D51" i="4" s="1"/>
  <c r="D57" i="4" s="1"/>
  <c r="C27" i="4"/>
  <c r="J25" i="4"/>
  <c r="I25" i="4"/>
  <c r="H25" i="4"/>
  <c r="H49" i="4" s="1"/>
  <c r="G25" i="4"/>
  <c r="F25" i="4"/>
  <c r="F49" i="4" s="1"/>
  <c r="E25" i="4"/>
  <c r="E49" i="4" s="1"/>
  <c r="D25" i="4"/>
  <c r="D63" i="4" s="1"/>
  <c r="D75" i="4" s="1"/>
  <c r="D81" i="4" s="1"/>
  <c r="C25" i="4"/>
  <c r="C49" i="4" s="1"/>
  <c r="J24" i="4"/>
  <c r="I24" i="4"/>
  <c r="H24" i="4"/>
  <c r="G24" i="4"/>
  <c r="G48" i="4" s="1"/>
  <c r="F24" i="4"/>
  <c r="E24" i="4"/>
  <c r="E48" i="4" s="1"/>
  <c r="D24" i="4"/>
  <c r="C24" i="4"/>
  <c r="C48" i="4" s="1"/>
  <c r="J23" i="4"/>
  <c r="J47" i="4" s="1"/>
  <c r="I23" i="4"/>
  <c r="I47" i="4" s="1"/>
  <c r="H23" i="4"/>
  <c r="G23" i="4"/>
  <c r="F23" i="4"/>
  <c r="F47" i="4" s="1"/>
  <c r="E23" i="4"/>
  <c r="D23" i="4"/>
  <c r="D47" i="4" s="1"/>
  <c r="C23" i="4"/>
  <c r="C47" i="4" s="1"/>
  <c r="J22" i="4"/>
  <c r="J46" i="4" s="1"/>
  <c r="I22" i="4"/>
  <c r="I46" i="4" s="1"/>
  <c r="H22" i="4"/>
  <c r="G22" i="4"/>
  <c r="F22" i="4"/>
  <c r="F34" i="4" s="1"/>
  <c r="F40" i="4" s="1"/>
  <c r="E22" i="4"/>
  <c r="D22" i="4"/>
  <c r="D34" i="4" s="1"/>
  <c r="D40" i="4" s="1"/>
  <c r="C22" i="4"/>
  <c r="J21" i="4"/>
  <c r="I21" i="4"/>
  <c r="I45" i="4" s="1"/>
  <c r="H21" i="4"/>
  <c r="G21" i="4"/>
  <c r="F21" i="4"/>
  <c r="F45" i="4" s="1"/>
  <c r="E21" i="4"/>
  <c r="D21" i="4"/>
  <c r="D45" i="4" s="1"/>
  <c r="C21" i="4"/>
  <c r="C45" i="4" s="1"/>
  <c r="K120" i="3"/>
  <c r="J106" i="3"/>
  <c r="I106" i="3"/>
  <c r="H106" i="3"/>
  <c r="G106" i="3"/>
  <c r="H104" i="3"/>
  <c r="J73" i="3"/>
  <c r="I73" i="3"/>
  <c r="H73" i="3"/>
  <c r="G73" i="3"/>
  <c r="F73" i="3"/>
  <c r="E73" i="3"/>
  <c r="D73" i="3"/>
  <c r="C73" i="3"/>
  <c r="J72" i="3"/>
  <c r="I72" i="3"/>
  <c r="H72" i="3"/>
  <c r="G72" i="3"/>
  <c r="F72" i="3"/>
  <c r="E72" i="3"/>
  <c r="D72" i="3"/>
  <c r="C72" i="3"/>
  <c r="J71" i="3"/>
  <c r="I71" i="3"/>
  <c r="H71" i="3"/>
  <c r="G71" i="3"/>
  <c r="F71" i="3"/>
  <c r="E71" i="3"/>
  <c r="D71" i="3"/>
  <c r="C71" i="3"/>
  <c r="J70" i="3"/>
  <c r="I70" i="3"/>
  <c r="H70" i="3"/>
  <c r="G70" i="3"/>
  <c r="F70" i="3"/>
  <c r="E70" i="3"/>
  <c r="D70" i="3"/>
  <c r="C70" i="3"/>
  <c r="J69" i="3"/>
  <c r="I69" i="3"/>
  <c r="H69" i="3"/>
  <c r="G69" i="3"/>
  <c r="F69" i="3"/>
  <c r="F75" i="3" s="1"/>
  <c r="F81" i="3" s="1"/>
  <c r="F93" i="3" s="1"/>
  <c r="E69" i="3"/>
  <c r="D69" i="3"/>
  <c r="C69" i="3"/>
  <c r="J48" i="3"/>
  <c r="I48" i="3"/>
  <c r="E48" i="3"/>
  <c r="C48" i="3"/>
  <c r="H46" i="3"/>
  <c r="F46" i="3"/>
  <c r="E46" i="3"/>
  <c r="D46" i="3"/>
  <c r="C46" i="3"/>
  <c r="J45" i="3"/>
  <c r="G45" i="3"/>
  <c r="F45" i="3"/>
  <c r="I36" i="3"/>
  <c r="I42" i="3" s="1"/>
  <c r="I54" i="3" s="1"/>
  <c r="E36" i="3"/>
  <c r="E42" i="3" s="1"/>
  <c r="E54" i="3" s="1"/>
  <c r="H34" i="3"/>
  <c r="H40" i="3" s="1"/>
  <c r="H52" i="3" s="1"/>
  <c r="C34" i="3"/>
  <c r="C40" i="3" s="1"/>
  <c r="C52" i="3" s="1"/>
  <c r="J31" i="3"/>
  <c r="I31" i="3"/>
  <c r="H31" i="3"/>
  <c r="G31" i="3"/>
  <c r="F31" i="3"/>
  <c r="E31" i="3"/>
  <c r="D31" i="3"/>
  <c r="C31" i="3"/>
  <c r="J30" i="3"/>
  <c r="I30" i="3"/>
  <c r="H30" i="3"/>
  <c r="G30" i="3"/>
  <c r="F30" i="3"/>
  <c r="E30" i="3"/>
  <c r="D30" i="3"/>
  <c r="C30" i="3"/>
  <c r="C36" i="3" s="1"/>
  <c r="C42" i="3" s="1"/>
  <c r="J29" i="3"/>
  <c r="I29" i="3"/>
  <c r="H29" i="3"/>
  <c r="H35" i="3" s="1"/>
  <c r="H41" i="3" s="1"/>
  <c r="H53" i="3" s="1"/>
  <c r="G29" i="3"/>
  <c r="F29" i="3"/>
  <c r="E29" i="3"/>
  <c r="D29" i="3"/>
  <c r="C29" i="3"/>
  <c r="J28" i="3"/>
  <c r="I28" i="3"/>
  <c r="H28" i="3"/>
  <c r="G28" i="3"/>
  <c r="F28" i="3"/>
  <c r="E28" i="3"/>
  <c r="D28" i="3"/>
  <c r="C28" i="3"/>
  <c r="J27" i="3"/>
  <c r="I27" i="3"/>
  <c r="H27" i="3"/>
  <c r="G27" i="3"/>
  <c r="G33" i="3" s="1"/>
  <c r="G39" i="3" s="1"/>
  <c r="F27" i="3"/>
  <c r="E27" i="3"/>
  <c r="E33" i="3" s="1"/>
  <c r="E39" i="3" s="1"/>
  <c r="D27" i="3"/>
  <c r="C27" i="3"/>
  <c r="J25" i="3"/>
  <c r="J49" i="3" s="1"/>
  <c r="I25" i="3"/>
  <c r="I37" i="3" s="1"/>
  <c r="I43" i="3" s="1"/>
  <c r="H25" i="3"/>
  <c r="H49" i="3" s="1"/>
  <c r="G25" i="3"/>
  <c r="G37" i="3" s="1"/>
  <c r="G43" i="3" s="1"/>
  <c r="F25" i="3"/>
  <c r="F63" i="3" s="1"/>
  <c r="F87" i="3" s="1"/>
  <c r="E25" i="3"/>
  <c r="E37" i="3" s="1"/>
  <c r="E43" i="3" s="1"/>
  <c r="D25" i="3"/>
  <c r="D49" i="3" s="1"/>
  <c r="C25" i="3"/>
  <c r="C63" i="3" s="1"/>
  <c r="J24" i="3"/>
  <c r="I24" i="3"/>
  <c r="H24" i="3"/>
  <c r="H48" i="3" s="1"/>
  <c r="G24" i="3"/>
  <c r="F24" i="3"/>
  <c r="E24" i="3"/>
  <c r="D24" i="3"/>
  <c r="C24" i="3"/>
  <c r="J23" i="3"/>
  <c r="I23" i="3"/>
  <c r="H23" i="3"/>
  <c r="H47" i="3" s="1"/>
  <c r="G23" i="3"/>
  <c r="F23" i="3"/>
  <c r="E23" i="3"/>
  <c r="D23" i="3"/>
  <c r="D47" i="3" s="1"/>
  <c r="C23" i="3"/>
  <c r="C47" i="3" s="1"/>
  <c r="J22" i="3"/>
  <c r="J46" i="3" s="1"/>
  <c r="I22" i="3"/>
  <c r="I46" i="3" s="1"/>
  <c r="H22" i="3"/>
  <c r="G22" i="3"/>
  <c r="G34" i="3" s="1"/>
  <c r="G40" i="3" s="1"/>
  <c r="F22" i="3"/>
  <c r="F34" i="3" s="1"/>
  <c r="F40" i="3" s="1"/>
  <c r="E22" i="3"/>
  <c r="D22" i="3"/>
  <c r="C22" i="3"/>
  <c r="J21" i="3"/>
  <c r="I21" i="3"/>
  <c r="H21" i="3"/>
  <c r="G21" i="3"/>
  <c r="F21" i="3"/>
  <c r="E21" i="3"/>
  <c r="E45" i="3" s="1"/>
  <c r="D21" i="3"/>
  <c r="C21" i="3"/>
  <c r="K120" i="2"/>
  <c r="J106" i="2"/>
  <c r="I106" i="2"/>
  <c r="H106" i="2"/>
  <c r="G106" i="2"/>
  <c r="E104" i="2"/>
  <c r="C104" i="2"/>
  <c r="J73" i="2"/>
  <c r="I73" i="2"/>
  <c r="H73" i="2"/>
  <c r="G73" i="2"/>
  <c r="F73" i="2"/>
  <c r="E73" i="2"/>
  <c r="D73" i="2"/>
  <c r="C73" i="2"/>
  <c r="J72" i="2"/>
  <c r="I72" i="2"/>
  <c r="H72" i="2"/>
  <c r="G72" i="2"/>
  <c r="F72" i="2"/>
  <c r="E72" i="2"/>
  <c r="D72" i="2"/>
  <c r="C72" i="2"/>
  <c r="J71" i="2"/>
  <c r="I71" i="2"/>
  <c r="H71" i="2"/>
  <c r="G71" i="2"/>
  <c r="F71" i="2"/>
  <c r="E71" i="2"/>
  <c r="D71" i="2"/>
  <c r="C71" i="2"/>
  <c r="J70" i="2"/>
  <c r="I70" i="2"/>
  <c r="H70" i="2"/>
  <c r="G70" i="2"/>
  <c r="F70" i="2"/>
  <c r="E70" i="2"/>
  <c r="D70" i="2"/>
  <c r="C70" i="2"/>
  <c r="J69" i="2"/>
  <c r="I69" i="2"/>
  <c r="H69" i="2"/>
  <c r="G69" i="2"/>
  <c r="F69" i="2"/>
  <c r="E69" i="2"/>
  <c r="D69" i="2"/>
  <c r="C69" i="2"/>
  <c r="G63" i="2"/>
  <c r="C49" i="2"/>
  <c r="G48" i="2"/>
  <c r="F48" i="2"/>
  <c r="C48" i="2"/>
  <c r="J47" i="2"/>
  <c r="H47" i="2"/>
  <c r="G47" i="2"/>
  <c r="F47" i="2"/>
  <c r="E47" i="2"/>
  <c r="G46" i="2"/>
  <c r="F46" i="2"/>
  <c r="E46" i="2"/>
  <c r="I45" i="2"/>
  <c r="H45" i="2"/>
  <c r="C37" i="2"/>
  <c r="C43" i="2" s="1"/>
  <c r="I34" i="2"/>
  <c r="I40" i="2" s="1"/>
  <c r="I52" i="2" s="1"/>
  <c r="H34" i="2"/>
  <c r="H40" i="2" s="1"/>
  <c r="H52" i="2" s="1"/>
  <c r="E34" i="2"/>
  <c r="E40" i="2" s="1"/>
  <c r="E52" i="2" s="1"/>
  <c r="H33" i="2"/>
  <c r="H39" i="2" s="1"/>
  <c r="J31" i="2"/>
  <c r="I31" i="2"/>
  <c r="H31" i="2"/>
  <c r="G31" i="2"/>
  <c r="F31" i="2"/>
  <c r="E31" i="2"/>
  <c r="D31" i="2"/>
  <c r="C31" i="2"/>
  <c r="J30" i="2"/>
  <c r="I30" i="2"/>
  <c r="H30" i="2"/>
  <c r="G30" i="2"/>
  <c r="G36" i="2" s="1"/>
  <c r="G42" i="2" s="1"/>
  <c r="F30" i="2"/>
  <c r="F36" i="2" s="1"/>
  <c r="F42" i="2" s="1"/>
  <c r="F54" i="2" s="1"/>
  <c r="E30" i="2"/>
  <c r="D30" i="2"/>
  <c r="C30" i="2"/>
  <c r="C36" i="2" s="1"/>
  <c r="C42" i="2" s="1"/>
  <c r="J29" i="2"/>
  <c r="J35" i="2" s="1"/>
  <c r="J41" i="2" s="1"/>
  <c r="J53" i="2" s="1"/>
  <c r="I29" i="2"/>
  <c r="H29" i="2"/>
  <c r="H35" i="2" s="1"/>
  <c r="H41" i="2" s="1"/>
  <c r="H53" i="2" s="1"/>
  <c r="G29" i="2"/>
  <c r="F29" i="2"/>
  <c r="E29" i="2"/>
  <c r="D29" i="2"/>
  <c r="C29" i="2"/>
  <c r="J28" i="2"/>
  <c r="I28" i="2"/>
  <c r="H28" i="2"/>
  <c r="G28" i="2"/>
  <c r="F28" i="2"/>
  <c r="E28" i="2"/>
  <c r="D28" i="2"/>
  <c r="C28" i="2"/>
  <c r="J27" i="2"/>
  <c r="I27" i="2"/>
  <c r="I33" i="2" s="1"/>
  <c r="I39" i="2" s="1"/>
  <c r="H27" i="2"/>
  <c r="G27" i="2"/>
  <c r="F27" i="2"/>
  <c r="E27" i="2"/>
  <c r="D27" i="2"/>
  <c r="D33" i="2" s="1"/>
  <c r="D39" i="2" s="1"/>
  <c r="C27" i="2"/>
  <c r="J25" i="2"/>
  <c r="I25" i="2"/>
  <c r="I49" i="2" s="1"/>
  <c r="H25" i="2"/>
  <c r="G25" i="2"/>
  <c r="G49" i="2" s="1"/>
  <c r="F25" i="2"/>
  <c r="F37" i="2" s="1"/>
  <c r="F43" i="2" s="1"/>
  <c r="E25" i="2"/>
  <c r="E63" i="2" s="1"/>
  <c r="D25" i="2"/>
  <c r="D63" i="2" s="1"/>
  <c r="D75" i="2" s="1"/>
  <c r="D81" i="2" s="1"/>
  <c r="C25" i="2"/>
  <c r="C63" i="2" s="1"/>
  <c r="C75" i="2" s="1"/>
  <c r="C81" i="2" s="1"/>
  <c r="J24" i="2"/>
  <c r="I24" i="2"/>
  <c r="H24" i="2"/>
  <c r="H48" i="2" s="1"/>
  <c r="G24" i="2"/>
  <c r="F24" i="2"/>
  <c r="E24" i="2"/>
  <c r="D24" i="2"/>
  <c r="C24" i="2"/>
  <c r="J23" i="2"/>
  <c r="I23" i="2"/>
  <c r="H23" i="2"/>
  <c r="G23" i="2"/>
  <c r="F23" i="2"/>
  <c r="F35" i="2" s="1"/>
  <c r="F41" i="2" s="1"/>
  <c r="F53" i="2" s="1"/>
  <c r="E23" i="2"/>
  <c r="E35" i="2" s="1"/>
  <c r="E41" i="2" s="1"/>
  <c r="E53" i="2" s="1"/>
  <c r="D23" i="2"/>
  <c r="D47" i="2" s="1"/>
  <c r="C23" i="2"/>
  <c r="C35" i="2" s="1"/>
  <c r="C41" i="2" s="1"/>
  <c r="J22" i="2"/>
  <c r="I22" i="2"/>
  <c r="I46" i="2" s="1"/>
  <c r="H22" i="2"/>
  <c r="H46" i="2" s="1"/>
  <c r="G22" i="2"/>
  <c r="F22" i="2"/>
  <c r="E22" i="2"/>
  <c r="D22" i="2"/>
  <c r="C22" i="2"/>
  <c r="J21" i="2"/>
  <c r="I21" i="2"/>
  <c r="H21" i="2"/>
  <c r="G21" i="2"/>
  <c r="F21" i="2"/>
  <c r="E21" i="2"/>
  <c r="D21" i="2"/>
  <c r="D45" i="2" s="1"/>
  <c r="C21" i="2"/>
  <c r="B37" i="1"/>
  <c r="B38" i="1" s="1"/>
  <c r="E104" i="3" s="1"/>
  <c r="B30" i="1"/>
  <c r="B29" i="1"/>
  <c r="D16" i="4" s="1"/>
  <c r="B28" i="1"/>
  <c r="I16" i="4" s="1"/>
  <c r="B23" i="1"/>
  <c r="B26" i="1" s="1"/>
  <c r="B31" i="1" s="1"/>
  <c r="B14" i="1"/>
  <c r="D51" i="2" l="1"/>
  <c r="D11" i="5"/>
  <c r="D12" i="5" s="1"/>
  <c r="F52" i="3"/>
  <c r="H37" i="3"/>
  <c r="H43" i="3" s="1"/>
  <c r="H55" i="3" s="1"/>
  <c r="H63" i="3"/>
  <c r="I63" i="2"/>
  <c r="J63" i="3"/>
  <c r="I104" i="3"/>
  <c r="D104" i="2"/>
  <c r="F64" i="3"/>
  <c r="F65" i="3" s="1"/>
  <c r="J104" i="3"/>
  <c r="C23" i="7"/>
  <c r="C35" i="4"/>
  <c r="C41" i="4" s="1"/>
  <c r="C53" i="4" s="1"/>
  <c r="D35" i="2"/>
  <c r="D41" i="2" s="1"/>
  <c r="D53" i="2" s="1"/>
  <c r="B27" i="7"/>
  <c r="B38" i="7" s="1"/>
  <c r="B49" i="7" s="1"/>
  <c r="D35" i="3"/>
  <c r="D41" i="3" s="1"/>
  <c r="D53" i="3" s="1"/>
  <c r="D59" i="3" s="1"/>
  <c r="C54" i="3"/>
  <c r="H16" i="4"/>
  <c r="H107" i="4" s="1"/>
  <c r="D49" i="2"/>
  <c r="C49" i="3"/>
  <c r="I57" i="4"/>
  <c r="C33" i="2"/>
  <c r="C39" i="2" s="1"/>
  <c r="I34" i="3"/>
  <c r="I40" i="3" s="1"/>
  <c r="I52" i="3" s="1"/>
  <c r="E51" i="3"/>
  <c r="F33" i="3"/>
  <c r="F39" i="3" s="1"/>
  <c r="F51" i="3" s="1"/>
  <c r="F49" i="2"/>
  <c r="F55" i="2" s="1"/>
  <c r="F49" i="3"/>
  <c r="G33" i="4"/>
  <c r="G39" i="4" s="1"/>
  <c r="F51" i="4"/>
  <c r="J34" i="3"/>
  <c r="J40" i="3" s="1"/>
  <c r="J52" i="3" s="1"/>
  <c r="D35" i="4"/>
  <c r="D41" i="4" s="1"/>
  <c r="D53" i="4" s="1"/>
  <c r="D34" i="3"/>
  <c r="D40" i="3" s="1"/>
  <c r="D52" i="3" s="1"/>
  <c r="J36" i="3"/>
  <c r="J42" i="3" s="1"/>
  <c r="J54" i="3" s="1"/>
  <c r="J60" i="3" s="1"/>
  <c r="C37" i="4"/>
  <c r="C43" i="4" s="1"/>
  <c r="C55" i="4" s="1"/>
  <c r="C61" i="4" s="1"/>
  <c r="J16" i="3"/>
  <c r="J107" i="3" s="1"/>
  <c r="J37" i="3"/>
  <c r="J43" i="3" s="1"/>
  <c r="C16" i="4"/>
  <c r="C57" i="4" s="1"/>
  <c r="I16" i="3"/>
  <c r="I60" i="3" s="1"/>
  <c r="E37" i="2"/>
  <c r="E43" i="2" s="1"/>
  <c r="E55" i="2" s="1"/>
  <c r="J33" i="3"/>
  <c r="J39" i="3" s="1"/>
  <c r="J51" i="3" s="1"/>
  <c r="J57" i="3" s="1"/>
  <c r="C35" i="3"/>
  <c r="C41" i="3" s="1"/>
  <c r="C53" i="3" s="1"/>
  <c r="C33" i="3"/>
  <c r="C39" i="3" s="1"/>
  <c r="C51" i="3" s="1"/>
  <c r="C57" i="3" s="1"/>
  <c r="G51" i="3"/>
  <c r="G54" i="2"/>
  <c r="F37" i="3"/>
  <c r="F43" i="3" s="1"/>
  <c r="F33" i="2"/>
  <c r="F39" i="2" s="1"/>
  <c r="C55" i="2"/>
  <c r="E49" i="2"/>
  <c r="E49" i="3"/>
  <c r="E55" i="3" s="1"/>
  <c r="E61" i="3" s="1"/>
  <c r="F34" i="2"/>
  <c r="F40" i="2" s="1"/>
  <c r="F52" i="2" s="1"/>
  <c r="D37" i="2"/>
  <c r="D43" i="2" s="1"/>
  <c r="I33" i="3"/>
  <c r="I39" i="3" s="1"/>
  <c r="G34" i="2"/>
  <c r="G40" i="2" s="1"/>
  <c r="G52" i="2" s="1"/>
  <c r="G58" i="2" s="1"/>
  <c r="D34" i="2"/>
  <c r="D40" i="2" s="1"/>
  <c r="C34" i="4"/>
  <c r="C40" i="4" s="1"/>
  <c r="C52" i="4" s="1"/>
  <c r="C58" i="4" s="1"/>
  <c r="G34" i="4"/>
  <c r="G40" i="4" s="1"/>
  <c r="G52" i="4" s="1"/>
  <c r="E37" i="4"/>
  <c r="E43" i="4" s="1"/>
  <c r="E55" i="4" s="1"/>
  <c r="E61" i="4" s="1"/>
  <c r="G35" i="4"/>
  <c r="G41" i="4" s="1"/>
  <c r="G53" i="4" s="1"/>
  <c r="G59" i="4" s="1"/>
  <c r="E33" i="2"/>
  <c r="E39" i="2" s="1"/>
  <c r="E45" i="2"/>
  <c r="D63" i="3"/>
  <c r="D64" i="3" s="1"/>
  <c r="D65" i="3" s="1"/>
  <c r="D52" i="4"/>
  <c r="D58" i="4" s="1"/>
  <c r="E36" i="7"/>
  <c r="E47" i="7" s="1"/>
  <c r="C22" i="7"/>
  <c r="C33" i="7" s="1"/>
  <c r="C44" i="7" s="1"/>
  <c r="G47" i="4"/>
  <c r="I51" i="2"/>
  <c r="H51" i="2"/>
  <c r="F63" i="2"/>
  <c r="E63" i="3"/>
  <c r="E34" i="4"/>
  <c r="E40" i="4" s="1"/>
  <c r="E75" i="4"/>
  <c r="E81" i="4" s="1"/>
  <c r="E93" i="4" s="1"/>
  <c r="D22" i="7"/>
  <c r="E45" i="4"/>
  <c r="E33" i="4"/>
  <c r="E39" i="4" s="1"/>
  <c r="J58" i="3"/>
  <c r="J75" i="3"/>
  <c r="J81" i="3" s="1"/>
  <c r="J87" i="3"/>
  <c r="F76" i="3"/>
  <c r="F82" i="3" s="1"/>
  <c r="E36" i="2"/>
  <c r="E42" i="2" s="1"/>
  <c r="D35" i="7"/>
  <c r="D46" i="7" s="1"/>
  <c r="D34" i="7"/>
  <c r="D45" i="7" s="1"/>
  <c r="I36" i="2"/>
  <c r="I42" i="2" s="1"/>
  <c r="I45" i="3"/>
  <c r="E48" i="2"/>
  <c r="D64" i="4"/>
  <c r="D87" i="4"/>
  <c r="D93" i="4" s="1"/>
  <c r="D99" i="4" s="1"/>
  <c r="E60" i="4"/>
  <c r="J55" i="3"/>
  <c r="J61" i="3" s="1"/>
  <c r="C64" i="2"/>
  <c r="C87" i="2"/>
  <c r="C93" i="2" s="1"/>
  <c r="C99" i="2" s="1"/>
  <c r="I107" i="3"/>
  <c r="G47" i="3"/>
  <c r="G35" i="3"/>
  <c r="G41" i="3" s="1"/>
  <c r="J33" i="2"/>
  <c r="J39" i="2" s="1"/>
  <c r="J45" i="2"/>
  <c r="F75" i="2"/>
  <c r="F81" i="2" s="1"/>
  <c r="F93" i="2" s="1"/>
  <c r="F87" i="2"/>
  <c r="F64" i="2"/>
  <c r="H51" i="4"/>
  <c r="H36" i="2"/>
  <c r="H42" i="2" s="1"/>
  <c r="H54" i="2" s="1"/>
  <c r="D87" i="2"/>
  <c r="D93" i="2" s="1"/>
  <c r="D64" i="2"/>
  <c r="E75" i="2"/>
  <c r="E81" i="2" s="1"/>
  <c r="E64" i="2"/>
  <c r="E87" i="2"/>
  <c r="D33" i="3"/>
  <c r="D39" i="3" s="1"/>
  <c r="D45" i="3"/>
  <c r="J47" i="3"/>
  <c r="J35" i="3"/>
  <c r="J41" i="3" s="1"/>
  <c r="C45" i="2"/>
  <c r="C51" i="2" s="1"/>
  <c r="G75" i="2"/>
  <c r="G81" i="2" s="1"/>
  <c r="G87" i="2"/>
  <c r="G64" i="2"/>
  <c r="C64" i="3"/>
  <c r="C87" i="3"/>
  <c r="C75" i="3"/>
  <c r="C81" i="3" s="1"/>
  <c r="G48" i="3"/>
  <c r="G36" i="3"/>
  <c r="G42" i="3" s="1"/>
  <c r="J64" i="3"/>
  <c r="D36" i="2"/>
  <c r="D42" i="2" s="1"/>
  <c r="D48" i="2"/>
  <c r="C46" i="2"/>
  <c r="C34" i="2"/>
  <c r="C40" i="2" s="1"/>
  <c r="C52" i="2" s="1"/>
  <c r="C58" i="2" s="1"/>
  <c r="D36" i="3"/>
  <c r="D42" i="3" s="1"/>
  <c r="D48" i="3"/>
  <c r="I35" i="2"/>
  <c r="I41" i="2" s="1"/>
  <c r="I47" i="2"/>
  <c r="D37" i="7"/>
  <c r="D48" i="7" s="1"/>
  <c r="D27" i="7"/>
  <c r="G33" i="2"/>
  <c r="G39" i="2" s="1"/>
  <c r="G45" i="2"/>
  <c r="I48" i="2"/>
  <c r="F104" i="4"/>
  <c r="E104" i="4"/>
  <c r="C104" i="3"/>
  <c r="D104" i="3"/>
  <c r="I104" i="4"/>
  <c r="I107" i="4" s="1"/>
  <c r="J104" i="4"/>
  <c r="I104" i="2"/>
  <c r="H104" i="4"/>
  <c r="G104" i="4"/>
  <c r="J104" i="2"/>
  <c r="D104" i="4"/>
  <c r="D59" i="4" s="1"/>
  <c r="C104" i="4"/>
  <c r="G104" i="2"/>
  <c r="F104" i="2"/>
  <c r="F59" i="2" s="1"/>
  <c r="H104" i="2"/>
  <c r="G104" i="3"/>
  <c r="F104" i="3"/>
  <c r="F45" i="2"/>
  <c r="H33" i="3"/>
  <c r="H39" i="3" s="1"/>
  <c r="H45" i="3"/>
  <c r="F48" i="3"/>
  <c r="F36" i="3"/>
  <c r="F42" i="3" s="1"/>
  <c r="F54" i="3" s="1"/>
  <c r="H75" i="3"/>
  <c r="H81" i="3" s="1"/>
  <c r="H64" i="3"/>
  <c r="H87" i="3"/>
  <c r="F35" i="4"/>
  <c r="F41" i="4" s="1"/>
  <c r="F53" i="4" s="1"/>
  <c r="E37" i="7"/>
  <c r="E48" i="7" s="1"/>
  <c r="E27" i="7"/>
  <c r="I47" i="3"/>
  <c r="I35" i="3"/>
  <c r="I41" i="3" s="1"/>
  <c r="E64" i="3"/>
  <c r="E87" i="3"/>
  <c r="G16" i="4"/>
  <c r="G107" i="4" s="1"/>
  <c r="C54" i="2"/>
  <c r="F46" i="4"/>
  <c r="F52" i="4" s="1"/>
  <c r="F58" i="4" s="1"/>
  <c r="I36" i="4"/>
  <c r="I42" i="4" s="1"/>
  <c r="I48" i="4"/>
  <c r="C63" i="4"/>
  <c r="E34" i="7"/>
  <c r="E45" i="7" s="1"/>
  <c r="C34" i="7"/>
  <c r="C45" i="7" s="1"/>
  <c r="C16" i="2"/>
  <c r="C61" i="2" s="1"/>
  <c r="J46" i="2"/>
  <c r="J34" i="2"/>
  <c r="J40" i="2" s="1"/>
  <c r="H63" i="2"/>
  <c r="H49" i="2"/>
  <c r="D37" i="3"/>
  <c r="D43" i="3" s="1"/>
  <c r="D55" i="3" s="1"/>
  <c r="J36" i="4"/>
  <c r="J42" i="4" s="1"/>
  <c r="J48" i="4"/>
  <c r="G51" i="4"/>
  <c r="D16" i="2"/>
  <c r="D59" i="2" s="1"/>
  <c r="C47" i="2"/>
  <c r="C53" i="2" s="1"/>
  <c r="C59" i="2" s="1"/>
  <c r="E52" i="4"/>
  <c r="J36" i="2"/>
  <c r="J42" i="2" s="1"/>
  <c r="J48" i="2"/>
  <c r="J63" i="2"/>
  <c r="J49" i="2"/>
  <c r="J37" i="2"/>
  <c r="J43" i="2" s="1"/>
  <c r="G55" i="3"/>
  <c r="E35" i="7"/>
  <c r="E46" i="7" s="1"/>
  <c r="E16" i="3"/>
  <c r="E60" i="3" s="1"/>
  <c r="E64" i="4"/>
  <c r="G37" i="2"/>
  <c r="G43" i="2" s="1"/>
  <c r="G55" i="2" s="1"/>
  <c r="F16" i="3"/>
  <c r="C45" i="3"/>
  <c r="E75" i="3"/>
  <c r="E81" i="3" s="1"/>
  <c r="H34" i="4"/>
  <c r="H40" i="4" s="1"/>
  <c r="H52" i="4" s="1"/>
  <c r="F37" i="4"/>
  <c r="F43" i="4" s="1"/>
  <c r="F55" i="4" s="1"/>
  <c r="C36" i="7"/>
  <c r="C47" i="7" s="1"/>
  <c r="D33" i="7"/>
  <c r="D44" i="7" s="1"/>
  <c r="I34" i="4"/>
  <c r="I40" i="4" s="1"/>
  <c r="I52" i="4" s="1"/>
  <c r="I58" i="4" s="1"/>
  <c r="G37" i="4"/>
  <c r="G43" i="4" s="1"/>
  <c r="G63" i="4"/>
  <c r="G49" i="4"/>
  <c r="E53" i="4"/>
  <c r="D46" i="2"/>
  <c r="H36" i="3"/>
  <c r="H42" i="3" s="1"/>
  <c r="H54" i="3" s="1"/>
  <c r="E16" i="2"/>
  <c r="E58" i="2" s="1"/>
  <c r="F55" i="3"/>
  <c r="D37" i="4"/>
  <c r="D43" i="4" s="1"/>
  <c r="D49" i="4"/>
  <c r="F16" i="2"/>
  <c r="I63" i="3"/>
  <c r="I49" i="3"/>
  <c r="I55" i="3" s="1"/>
  <c r="I61" i="3" s="1"/>
  <c r="G16" i="2"/>
  <c r="G60" i="2" s="1"/>
  <c r="H16" i="2"/>
  <c r="G35" i="2"/>
  <c r="G41" i="2" s="1"/>
  <c r="G53" i="2" s="1"/>
  <c r="H37" i="2"/>
  <c r="H43" i="2" s="1"/>
  <c r="H55" i="2" s="1"/>
  <c r="I87" i="2"/>
  <c r="G16" i="3"/>
  <c r="E47" i="3"/>
  <c r="E35" i="3"/>
  <c r="E41" i="3" s="1"/>
  <c r="E53" i="3" s="1"/>
  <c r="I16" i="2"/>
  <c r="I107" i="2" s="1"/>
  <c r="I37" i="2"/>
  <c r="I43" i="2" s="1"/>
  <c r="I55" i="2" s="1"/>
  <c r="H16" i="3"/>
  <c r="H107" i="3" s="1"/>
  <c r="F47" i="3"/>
  <c r="F35" i="3"/>
  <c r="F41" i="3" s="1"/>
  <c r="J34" i="4"/>
  <c r="J40" i="4" s="1"/>
  <c r="J52" i="4" s="1"/>
  <c r="C37" i="7"/>
  <c r="C48" i="7" s="1"/>
  <c r="C27" i="7"/>
  <c r="H37" i="4"/>
  <c r="H43" i="4" s="1"/>
  <c r="H55" i="4" s="1"/>
  <c r="F64" i="4"/>
  <c r="F87" i="4"/>
  <c r="F75" i="4"/>
  <c r="F81" i="4" s="1"/>
  <c r="F93" i="4" s="1"/>
  <c r="E33" i="7"/>
  <c r="E44" i="7" s="1"/>
  <c r="G46" i="3"/>
  <c r="G52" i="3" s="1"/>
  <c r="E16" i="4"/>
  <c r="I63" i="4"/>
  <c r="I49" i="4"/>
  <c r="I37" i="4"/>
  <c r="I43" i="4" s="1"/>
  <c r="I55" i="4" s="1"/>
  <c r="I61" i="4" s="1"/>
  <c r="F16" i="4"/>
  <c r="F60" i="4" s="1"/>
  <c r="J63" i="4"/>
  <c r="J49" i="4"/>
  <c r="F57" i="4"/>
  <c r="J37" i="4"/>
  <c r="J43" i="4" s="1"/>
  <c r="J55" i="4" s="1"/>
  <c r="H63" i="4"/>
  <c r="E34" i="3"/>
  <c r="E40" i="3" s="1"/>
  <c r="E52" i="3" s="1"/>
  <c r="C37" i="3"/>
  <c r="C43" i="3" s="1"/>
  <c r="J16" i="2"/>
  <c r="J16" i="4"/>
  <c r="H47" i="4"/>
  <c r="H35" i="4"/>
  <c r="H41" i="4" s="1"/>
  <c r="C16" i="3"/>
  <c r="G63" i="3"/>
  <c r="G49" i="3"/>
  <c r="D16" i="3"/>
  <c r="D58" i="3" s="1"/>
  <c r="C24" i="7"/>
  <c r="C35" i="7" s="1"/>
  <c r="C46" i="7" s="1"/>
  <c r="D25" i="7"/>
  <c r="D36" i="7" s="1"/>
  <c r="D47" i="7" s="1"/>
  <c r="I53" i="2" l="1"/>
  <c r="G57" i="4"/>
  <c r="C59" i="4"/>
  <c r="J54" i="4"/>
  <c r="H58" i="4"/>
  <c r="D88" i="3"/>
  <c r="E93" i="2"/>
  <c r="E99" i="2" s="1"/>
  <c r="B28" i="7"/>
  <c r="D99" i="2"/>
  <c r="I51" i="3"/>
  <c r="I57" i="3" s="1"/>
  <c r="F58" i="3"/>
  <c r="G54" i="3"/>
  <c r="G60" i="3" s="1"/>
  <c r="H57" i="4"/>
  <c r="D55" i="2"/>
  <c r="D61" i="2" s="1"/>
  <c r="I93" i="2"/>
  <c r="I99" i="2" s="1"/>
  <c r="D75" i="3"/>
  <c r="D81" i="3" s="1"/>
  <c r="D93" i="3" s="1"/>
  <c r="D99" i="3" s="1"/>
  <c r="D76" i="3"/>
  <c r="D82" i="3" s="1"/>
  <c r="D94" i="3" s="1"/>
  <c r="D100" i="3" s="1"/>
  <c r="F57" i="3"/>
  <c r="F99" i="3"/>
  <c r="C58" i="3"/>
  <c r="I64" i="2"/>
  <c r="I75" i="2"/>
  <c r="I81" i="2" s="1"/>
  <c r="J93" i="3"/>
  <c r="J99" i="3" s="1"/>
  <c r="F60" i="2"/>
  <c r="H93" i="3"/>
  <c r="E99" i="4"/>
  <c r="C93" i="3"/>
  <c r="D51" i="3"/>
  <c r="D57" i="3" s="1"/>
  <c r="G61" i="3"/>
  <c r="H60" i="4"/>
  <c r="F60" i="3"/>
  <c r="E54" i="2"/>
  <c r="G58" i="4"/>
  <c r="H60" i="2"/>
  <c r="J107" i="4"/>
  <c r="J107" i="2"/>
  <c r="F53" i="3"/>
  <c r="F59" i="3" s="1"/>
  <c r="D52" i="2"/>
  <c r="D58" i="2" s="1"/>
  <c r="J55" i="2"/>
  <c r="J61" i="2" s="1"/>
  <c r="J51" i="2"/>
  <c r="J57" i="2" s="1"/>
  <c r="D60" i="4"/>
  <c r="E51" i="2"/>
  <c r="H59" i="3"/>
  <c r="I58" i="3"/>
  <c r="D54" i="3"/>
  <c r="C60" i="4"/>
  <c r="I59" i="4"/>
  <c r="C59" i="3"/>
  <c r="F61" i="3"/>
  <c r="C55" i="3"/>
  <c r="C61" i="3" s="1"/>
  <c r="D87" i="3"/>
  <c r="E58" i="3"/>
  <c r="G93" i="2"/>
  <c r="G99" i="2" s="1"/>
  <c r="G53" i="3"/>
  <c r="G59" i="3" s="1"/>
  <c r="F88" i="3"/>
  <c r="F94" i="3" s="1"/>
  <c r="F100" i="3" s="1"/>
  <c r="I61" i="2"/>
  <c r="F51" i="2"/>
  <c r="F57" i="2" s="1"/>
  <c r="C57" i="2"/>
  <c r="H99" i="3"/>
  <c r="C60" i="3"/>
  <c r="J58" i="4"/>
  <c r="H60" i="3"/>
  <c r="D57" i="2"/>
  <c r="E57" i="3"/>
  <c r="J59" i="2"/>
  <c r="C65" i="2"/>
  <c r="C76" i="2"/>
  <c r="C82" i="2" s="1"/>
  <c r="C88" i="2"/>
  <c r="J54" i="2"/>
  <c r="J60" i="2" s="1"/>
  <c r="G64" i="4"/>
  <c r="G75" i="4"/>
  <c r="G81" i="4" s="1"/>
  <c r="G87" i="4"/>
  <c r="H61" i="3"/>
  <c r="D38" i="7"/>
  <c r="D49" i="7" s="1"/>
  <c r="D28" i="7"/>
  <c r="I57" i="2"/>
  <c r="J64" i="2"/>
  <c r="J87" i="2"/>
  <c r="J75" i="2"/>
  <c r="J81" i="2" s="1"/>
  <c r="H51" i="3"/>
  <c r="H57" i="3" s="1"/>
  <c r="F89" i="3"/>
  <c r="F66" i="3"/>
  <c r="F77" i="3"/>
  <c r="F83" i="3" s="1"/>
  <c r="F76" i="2"/>
  <c r="F82" i="2" s="1"/>
  <c r="F65" i="2"/>
  <c r="F88" i="2"/>
  <c r="I58" i="2"/>
  <c r="I87" i="4"/>
  <c r="I64" i="4"/>
  <c r="I75" i="4"/>
  <c r="I81" i="4" s="1"/>
  <c r="I93" i="4" s="1"/>
  <c r="I99" i="4" s="1"/>
  <c r="H58" i="2"/>
  <c r="H107" i="2"/>
  <c r="F61" i="4"/>
  <c r="I53" i="3"/>
  <c r="I59" i="3" s="1"/>
  <c r="F58" i="2"/>
  <c r="E76" i="3"/>
  <c r="E82" i="3" s="1"/>
  <c r="E65" i="3"/>
  <c r="E88" i="3"/>
  <c r="E59" i="2"/>
  <c r="C38" i="7"/>
  <c r="C49" i="7" s="1"/>
  <c r="C28" i="7"/>
  <c r="I54" i="2"/>
  <c r="I60" i="2" s="1"/>
  <c r="C87" i="4"/>
  <c r="C64" i="4"/>
  <c r="C75" i="4"/>
  <c r="C81" i="4" s="1"/>
  <c r="C93" i="4" s="1"/>
  <c r="C99" i="4" s="1"/>
  <c r="D65" i="2"/>
  <c r="D76" i="2"/>
  <c r="D82" i="2" s="1"/>
  <c r="D88" i="2"/>
  <c r="H64" i="4"/>
  <c r="H87" i="4"/>
  <c r="H75" i="4"/>
  <c r="H81" i="4" s="1"/>
  <c r="H93" i="4" s="1"/>
  <c r="H99" i="4" s="1"/>
  <c r="J88" i="3"/>
  <c r="J65" i="3"/>
  <c r="J76" i="3"/>
  <c r="J82" i="3" s="1"/>
  <c r="E59" i="3"/>
  <c r="E60" i="2"/>
  <c r="E58" i="4"/>
  <c r="G59" i="2"/>
  <c r="I59" i="2"/>
  <c r="F61" i="2"/>
  <c r="D61" i="3"/>
  <c r="J53" i="3"/>
  <c r="J59" i="3" s="1"/>
  <c r="E59" i="4"/>
  <c r="J87" i="4"/>
  <c r="J64" i="4"/>
  <c r="J75" i="4"/>
  <c r="J81" i="4" s="1"/>
  <c r="J93" i="4" s="1"/>
  <c r="J99" i="4" s="1"/>
  <c r="C99" i="3"/>
  <c r="H61" i="2"/>
  <c r="G107" i="2"/>
  <c r="E38" i="7"/>
  <c r="E49" i="7" s="1"/>
  <c r="E28" i="7"/>
  <c r="I75" i="3"/>
  <c r="I81" i="3" s="1"/>
  <c r="I64" i="3"/>
  <c r="I87" i="3"/>
  <c r="D60" i="3"/>
  <c r="D65" i="4"/>
  <c r="D76" i="4"/>
  <c r="D82" i="4" s="1"/>
  <c r="D88" i="4"/>
  <c r="G60" i="4"/>
  <c r="E65" i="4"/>
  <c r="E76" i="4"/>
  <c r="E82" i="4" s="1"/>
  <c r="E88" i="4"/>
  <c r="H76" i="3"/>
  <c r="H82" i="3" s="1"/>
  <c r="H88" i="3"/>
  <c r="H65" i="3"/>
  <c r="E76" i="2"/>
  <c r="E82" i="2" s="1"/>
  <c r="E65" i="2"/>
  <c r="E88" i="2"/>
  <c r="I54" i="4"/>
  <c r="I60" i="4" s="1"/>
  <c r="E61" i="2"/>
  <c r="G107" i="3"/>
  <c r="G55" i="4"/>
  <c r="G61" i="4" s="1"/>
  <c r="C60" i="2"/>
  <c r="H58" i="3"/>
  <c r="F99" i="4"/>
  <c r="G87" i="3"/>
  <c r="G75" i="3"/>
  <c r="G81" i="3" s="1"/>
  <c r="G93" i="3" s="1"/>
  <c r="G99" i="3" s="1"/>
  <c r="G64" i="3"/>
  <c r="F99" i="2"/>
  <c r="G58" i="3"/>
  <c r="E93" i="3"/>
  <c r="E99" i="3" s="1"/>
  <c r="G57" i="3"/>
  <c r="F65" i="4"/>
  <c r="F76" i="4"/>
  <c r="F82" i="4" s="1"/>
  <c r="F88" i="4"/>
  <c r="G61" i="2"/>
  <c r="H87" i="2"/>
  <c r="H64" i="2"/>
  <c r="H75" i="2"/>
  <c r="H81" i="2" s="1"/>
  <c r="F59" i="4"/>
  <c r="H57" i="2"/>
  <c r="J59" i="4"/>
  <c r="D54" i="2"/>
  <c r="D60" i="2" s="1"/>
  <c r="B39" i="7"/>
  <c r="B50" i="7" s="1"/>
  <c r="B29" i="7"/>
  <c r="J61" i="4"/>
  <c r="G51" i="2"/>
  <c r="G57" i="2" s="1"/>
  <c r="C76" i="3"/>
  <c r="C82" i="3" s="1"/>
  <c r="C65" i="3"/>
  <c r="C88" i="3"/>
  <c r="G65" i="2"/>
  <c r="G76" i="2"/>
  <c r="G82" i="2" s="1"/>
  <c r="G88" i="2"/>
  <c r="J60" i="4"/>
  <c r="E57" i="2"/>
  <c r="D77" i="3"/>
  <c r="D83" i="3" s="1"/>
  <c r="D66" i="3"/>
  <c r="D89" i="3"/>
  <c r="H53" i="4"/>
  <c r="H59" i="4" s="1"/>
  <c r="H61" i="4"/>
  <c r="D55" i="4"/>
  <c r="D61" i="4" s="1"/>
  <c r="J52" i="2"/>
  <c r="J58" i="2" s="1"/>
  <c r="H59" i="2"/>
  <c r="J57" i="4"/>
  <c r="E51" i="4"/>
  <c r="E57" i="4" s="1"/>
  <c r="I88" i="2" l="1"/>
  <c r="I76" i="2"/>
  <c r="I82" i="2" s="1"/>
  <c r="I94" i="2" s="1"/>
  <c r="I100" i="2" s="1"/>
  <c r="I65" i="2"/>
  <c r="J93" i="2"/>
  <c r="J99" i="2" s="1"/>
  <c r="F95" i="3"/>
  <c r="F101" i="3" s="1"/>
  <c r="D95" i="3"/>
  <c r="D101" i="3" s="1"/>
  <c r="G88" i="4"/>
  <c r="G76" i="4"/>
  <c r="G82" i="4" s="1"/>
  <c r="G94" i="4" s="1"/>
  <c r="G100" i="4" s="1"/>
  <c r="G65" i="4"/>
  <c r="C77" i="3"/>
  <c r="C83" i="3" s="1"/>
  <c r="C89" i="3"/>
  <c r="C66" i="3"/>
  <c r="J76" i="4"/>
  <c r="J82" i="4" s="1"/>
  <c r="J65" i="4"/>
  <c r="J88" i="4"/>
  <c r="F94" i="2"/>
  <c r="F100" i="2" s="1"/>
  <c r="C65" i="4"/>
  <c r="C76" i="4"/>
  <c r="C82" i="4" s="1"/>
  <c r="C88" i="4"/>
  <c r="E94" i="4"/>
  <c r="E100" i="4" s="1"/>
  <c r="F90" i="3"/>
  <c r="F67" i="3"/>
  <c r="F78" i="3"/>
  <c r="F84" i="3" s="1"/>
  <c r="E89" i="4"/>
  <c r="E77" i="4"/>
  <c r="E83" i="4" s="1"/>
  <c r="E66" i="4"/>
  <c r="G93" i="4"/>
  <c r="G99" i="4" s="1"/>
  <c r="H88" i="4"/>
  <c r="H76" i="4"/>
  <c r="H82" i="4" s="1"/>
  <c r="H65" i="4"/>
  <c r="D89" i="2"/>
  <c r="D77" i="2"/>
  <c r="D83" i="2" s="1"/>
  <c r="D95" i="2" s="1"/>
  <c r="D101" i="2" s="1"/>
  <c r="D66" i="2"/>
  <c r="H94" i="3"/>
  <c r="H100" i="3" s="1"/>
  <c r="J66" i="3"/>
  <c r="J89" i="3"/>
  <c r="J77" i="3"/>
  <c r="J83" i="3" s="1"/>
  <c r="I76" i="4"/>
  <c r="I82" i="4" s="1"/>
  <c r="I65" i="4"/>
  <c r="I88" i="4"/>
  <c r="G94" i="2"/>
  <c r="G100" i="2" s="1"/>
  <c r="E89" i="2"/>
  <c r="E77" i="2"/>
  <c r="E83" i="2" s="1"/>
  <c r="E95" i="2" s="1"/>
  <c r="E101" i="2" s="1"/>
  <c r="E66" i="2"/>
  <c r="G89" i="2"/>
  <c r="G77" i="2"/>
  <c r="G83" i="2" s="1"/>
  <c r="G95" i="2" s="1"/>
  <c r="G101" i="2" s="1"/>
  <c r="G66" i="2"/>
  <c r="E94" i="2"/>
  <c r="E100" i="2" s="1"/>
  <c r="C94" i="2"/>
  <c r="C100" i="2" s="1"/>
  <c r="D94" i="2"/>
  <c r="D100" i="2" s="1"/>
  <c r="F66" i="2"/>
  <c r="F89" i="2"/>
  <c r="F77" i="2"/>
  <c r="F83" i="2" s="1"/>
  <c r="F95" i="2" s="1"/>
  <c r="F101" i="2" s="1"/>
  <c r="C94" i="3"/>
  <c r="C100" i="3" s="1"/>
  <c r="C39" i="7"/>
  <c r="C50" i="7" s="1"/>
  <c r="C29" i="7"/>
  <c r="G76" i="3"/>
  <c r="G82" i="3" s="1"/>
  <c r="G88" i="3"/>
  <c r="G65" i="3"/>
  <c r="D94" i="4"/>
  <c r="D100" i="4" s="1"/>
  <c r="D77" i="4"/>
  <c r="D83" i="4" s="1"/>
  <c r="D89" i="4"/>
  <c r="D66" i="4"/>
  <c r="E94" i="3"/>
  <c r="E100" i="3" s="1"/>
  <c r="I76" i="3"/>
  <c r="I82" i="3" s="1"/>
  <c r="I88" i="3"/>
  <c r="I65" i="3"/>
  <c r="D39" i="7"/>
  <c r="D50" i="7" s="1"/>
  <c r="D29" i="7"/>
  <c r="H93" i="2"/>
  <c r="H99" i="2" s="1"/>
  <c r="I93" i="3"/>
  <c r="I99" i="3" s="1"/>
  <c r="F94" i="4"/>
  <c r="F100" i="4" s="1"/>
  <c r="F77" i="4"/>
  <c r="F83" i="4" s="1"/>
  <c r="F89" i="4"/>
  <c r="F66" i="4"/>
  <c r="H89" i="3"/>
  <c r="H66" i="3"/>
  <c r="H77" i="3"/>
  <c r="H83" i="3" s="1"/>
  <c r="H95" i="3" s="1"/>
  <c r="H101" i="3" s="1"/>
  <c r="C66" i="2"/>
  <c r="C77" i="2"/>
  <c r="C83" i="2" s="1"/>
  <c r="C89" i="2"/>
  <c r="B30" i="7"/>
  <c r="B40" i="7"/>
  <c r="B51" i="7" s="1"/>
  <c r="E77" i="3"/>
  <c r="E83" i="3" s="1"/>
  <c r="E66" i="3"/>
  <c r="E89" i="3"/>
  <c r="J76" i="2"/>
  <c r="J82" i="2" s="1"/>
  <c r="J65" i="2"/>
  <c r="J88" i="2"/>
  <c r="D90" i="3"/>
  <c r="D67" i="3"/>
  <c r="D78" i="3"/>
  <c r="D84" i="3" s="1"/>
  <c r="D96" i="3" s="1"/>
  <c r="D102" i="3" s="1"/>
  <c r="H76" i="2"/>
  <c r="H82" i="2" s="1"/>
  <c r="H88" i="2"/>
  <c r="H65" i="2"/>
  <c r="E29" i="7"/>
  <c r="E39" i="7"/>
  <c r="E50" i="7" s="1"/>
  <c r="J94" i="3"/>
  <c r="J100" i="3" s="1"/>
  <c r="H94" i="4" l="1"/>
  <c r="H100" i="4" s="1"/>
  <c r="C95" i="2"/>
  <c r="C101" i="2" s="1"/>
  <c r="G94" i="3"/>
  <c r="G100" i="3" s="1"/>
  <c r="J94" i="4"/>
  <c r="J100" i="4" s="1"/>
  <c r="E95" i="4"/>
  <c r="E101" i="4" s="1"/>
  <c r="I77" i="2"/>
  <c r="I83" i="2" s="1"/>
  <c r="I66" i="2"/>
  <c r="I89" i="2"/>
  <c r="D95" i="4"/>
  <c r="D101" i="4" s="1"/>
  <c r="J94" i="2"/>
  <c r="J100" i="2" s="1"/>
  <c r="F96" i="3"/>
  <c r="F102" i="3" s="1"/>
  <c r="E90" i="3"/>
  <c r="E67" i="3"/>
  <c r="E78" i="3"/>
  <c r="E84" i="3" s="1"/>
  <c r="E96" i="3" s="1"/>
  <c r="E102" i="3" s="1"/>
  <c r="D30" i="7"/>
  <c r="D40" i="7"/>
  <c r="D51" i="7" s="1"/>
  <c r="J67" i="3"/>
  <c r="J78" i="3"/>
  <c r="J84" i="3" s="1"/>
  <c r="J90" i="3"/>
  <c r="J89" i="2"/>
  <c r="J77" i="2"/>
  <c r="J83" i="2" s="1"/>
  <c r="J66" i="2"/>
  <c r="D67" i="2"/>
  <c r="D90" i="2"/>
  <c r="D78" i="2"/>
  <c r="D84" i="2" s="1"/>
  <c r="D96" i="2" s="1"/>
  <c r="D102" i="2" s="1"/>
  <c r="C78" i="2"/>
  <c r="C84" i="2" s="1"/>
  <c r="C67" i="2"/>
  <c r="C90" i="2"/>
  <c r="F79" i="3"/>
  <c r="F85" i="3" s="1"/>
  <c r="F91" i="3"/>
  <c r="E95" i="3"/>
  <c r="E101" i="3" s="1"/>
  <c r="E67" i="4"/>
  <c r="E78" i="4"/>
  <c r="E84" i="4" s="1"/>
  <c r="E90" i="4"/>
  <c r="H67" i="3"/>
  <c r="H78" i="3"/>
  <c r="H84" i="3" s="1"/>
  <c r="H90" i="3"/>
  <c r="E30" i="7"/>
  <c r="E40" i="7"/>
  <c r="E51" i="7" s="1"/>
  <c r="J66" i="4"/>
  <c r="J89" i="4"/>
  <c r="J77" i="4"/>
  <c r="J83" i="4" s="1"/>
  <c r="J95" i="4" s="1"/>
  <c r="J101" i="4" s="1"/>
  <c r="C67" i="3"/>
  <c r="C90" i="3"/>
  <c r="C78" i="3"/>
  <c r="C84" i="3" s="1"/>
  <c r="G66" i="3"/>
  <c r="G89" i="3"/>
  <c r="G77" i="3"/>
  <c r="G83" i="3" s="1"/>
  <c r="G95" i="3" s="1"/>
  <c r="G101" i="3" s="1"/>
  <c r="F67" i="4"/>
  <c r="F90" i="4"/>
  <c r="F78" i="4"/>
  <c r="F84" i="4" s="1"/>
  <c r="I66" i="3"/>
  <c r="I89" i="3"/>
  <c r="I77" i="3"/>
  <c r="I83" i="3" s="1"/>
  <c r="F78" i="2"/>
  <c r="F84" i="2" s="1"/>
  <c r="F90" i="2"/>
  <c r="F67" i="2"/>
  <c r="C95" i="3"/>
  <c r="C101" i="3" s="1"/>
  <c r="B31" i="7"/>
  <c r="B42" i="7" s="1"/>
  <c r="B41" i="7"/>
  <c r="B52" i="7" s="1"/>
  <c r="G78" i="2"/>
  <c r="G84" i="2" s="1"/>
  <c r="G96" i="2" s="1"/>
  <c r="G102" i="2" s="1"/>
  <c r="G90" i="2"/>
  <c r="G67" i="2"/>
  <c r="G77" i="4"/>
  <c r="G83" i="4" s="1"/>
  <c r="G66" i="4"/>
  <c r="G89" i="4"/>
  <c r="I89" i="4"/>
  <c r="I77" i="4"/>
  <c r="I83" i="4" s="1"/>
  <c r="I95" i="4" s="1"/>
  <c r="I101" i="4" s="1"/>
  <c r="I66" i="4"/>
  <c r="I94" i="3"/>
  <c r="I100" i="3" s="1"/>
  <c r="D67" i="4"/>
  <c r="D90" i="4"/>
  <c r="D78" i="4"/>
  <c r="D84" i="4" s="1"/>
  <c r="D96" i="4" s="1"/>
  <c r="D102" i="4" s="1"/>
  <c r="H66" i="2"/>
  <c r="H89" i="2"/>
  <c r="H77" i="2"/>
  <c r="H83" i="2" s="1"/>
  <c r="H95" i="2" s="1"/>
  <c r="H101" i="2" s="1"/>
  <c r="H94" i="2"/>
  <c r="H100" i="2" s="1"/>
  <c r="C40" i="7"/>
  <c r="C51" i="7" s="1"/>
  <c r="C30" i="7"/>
  <c r="I94" i="4"/>
  <c r="I100" i="4" s="1"/>
  <c r="D79" i="3"/>
  <c r="D85" i="3" s="1"/>
  <c r="D91" i="3"/>
  <c r="J95" i="3"/>
  <c r="J101" i="3" s="1"/>
  <c r="C94" i="4"/>
  <c r="C100" i="4" s="1"/>
  <c r="H77" i="4"/>
  <c r="H83" i="4" s="1"/>
  <c r="H95" i="4" s="1"/>
  <c r="H101" i="4" s="1"/>
  <c r="H66" i="4"/>
  <c r="H89" i="4"/>
  <c r="E78" i="2"/>
  <c r="E84" i="2" s="1"/>
  <c r="E67" i="2"/>
  <c r="E90" i="2"/>
  <c r="F95" i="4"/>
  <c r="F101" i="4" s="1"/>
  <c r="C89" i="4"/>
  <c r="C77" i="4"/>
  <c r="C83" i="4" s="1"/>
  <c r="C95" i="4" s="1"/>
  <c r="C101" i="4" s="1"/>
  <c r="C66" i="4"/>
  <c r="I95" i="3" l="1"/>
  <c r="I101" i="3" s="1"/>
  <c r="I67" i="2"/>
  <c r="I90" i="2"/>
  <c r="I78" i="2"/>
  <c r="I84" i="2" s="1"/>
  <c r="I96" i="2" s="1"/>
  <c r="I102" i="2" s="1"/>
  <c r="I95" i="2"/>
  <c r="I101" i="2" s="1"/>
  <c r="J95" i="2"/>
  <c r="J101" i="2" s="1"/>
  <c r="H96" i="3"/>
  <c r="H102" i="3" s="1"/>
  <c r="F79" i="2"/>
  <c r="F85" i="2" s="1"/>
  <c r="F91" i="2"/>
  <c r="H90" i="2"/>
  <c r="H78" i="2"/>
  <c r="H84" i="2" s="1"/>
  <c r="H96" i="2" s="1"/>
  <c r="H102" i="2" s="1"/>
  <c r="H67" i="2"/>
  <c r="E79" i="3"/>
  <c r="E85" i="3" s="1"/>
  <c r="E91" i="3"/>
  <c r="F96" i="4"/>
  <c r="F102" i="4" s="1"/>
  <c r="D79" i="4"/>
  <c r="D85" i="4" s="1"/>
  <c r="D91" i="4"/>
  <c r="F91" i="4"/>
  <c r="F79" i="4"/>
  <c r="F85" i="4" s="1"/>
  <c r="C91" i="2"/>
  <c r="C79" i="2"/>
  <c r="C85" i="2" s="1"/>
  <c r="C97" i="2" s="1"/>
  <c r="E96" i="2"/>
  <c r="E102" i="2" s="1"/>
  <c r="I90" i="4"/>
  <c r="I67" i="4"/>
  <c r="I78" i="4"/>
  <c r="I84" i="4" s="1"/>
  <c r="G90" i="3"/>
  <c r="G67" i="3"/>
  <c r="G78" i="3"/>
  <c r="G84" i="3" s="1"/>
  <c r="G96" i="3" s="1"/>
  <c r="G102" i="3" s="1"/>
  <c r="C31" i="7"/>
  <c r="C42" i="7" s="1"/>
  <c r="C41" i="7"/>
  <c r="C52" i="7" s="1"/>
  <c r="C96" i="2"/>
  <c r="C102" i="2" s="1"/>
  <c r="H90" i="4"/>
  <c r="H78" i="4"/>
  <c r="H84" i="4" s="1"/>
  <c r="H67" i="4"/>
  <c r="C96" i="3"/>
  <c r="C102" i="3" s="1"/>
  <c r="H79" i="3"/>
  <c r="H85" i="3" s="1"/>
  <c r="H91" i="3"/>
  <c r="E96" i="4"/>
  <c r="E102" i="4" s="1"/>
  <c r="C78" i="4"/>
  <c r="C84" i="4" s="1"/>
  <c r="C90" i="4"/>
  <c r="C67" i="4"/>
  <c r="I90" i="3"/>
  <c r="I67" i="3"/>
  <c r="I78" i="3"/>
  <c r="I84" i="3" s="1"/>
  <c r="E91" i="2"/>
  <c r="E79" i="2"/>
  <c r="E85" i="2" s="1"/>
  <c r="E97" i="2" s="1"/>
  <c r="C79" i="3"/>
  <c r="C85" i="3" s="1"/>
  <c r="C91" i="3"/>
  <c r="G95" i="4"/>
  <c r="G101" i="4" s="1"/>
  <c r="J67" i="2"/>
  <c r="J90" i="2"/>
  <c r="J78" i="2"/>
  <c r="J84" i="2" s="1"/>
  <c r="J96" i="2" s="1"/>
  <c r="J102" i="2" s="1"/>
  <c r="G91" i="2"/>
  <c r="G79" i="2"/>
  <c r="G85" i="2" s="1"/>
  <c r="G97" i="2" s="1"/>
  <c r="G103" i="2" s="1"/>
  <c r="G105" i="2" s="1"/>
  <c r="G109" i="2" s="1"/>
  <c r="J90" i="4"/>
  <c r="J67" i="4"/>
  <c r="J78" i="4"/>
  <c r="J84" i="4" s="1"/>
  <c r="J96" i="4" s="1"/>
  <c r="J102" i="4" s="1"/>
  <c r="B55" i="7"/>
  <c r="B56" i="7" s="1"/>
  <c r="B53" i="7"/>
  <c r="B54" i="7" s="1"/>
  <c r="B57" i="7" s="1"/>
  <c r="B58" i="7" s="1"/>
  <c r="B59" i="7" s="1"/>
  <c r="B60" i="7" s="1"/>
  <c r="D31" i="7"/>
  <c r="D42" i="7" s="1"/>
  <c r="D41" i="7"/>
  <c r="D52" i="7" s="1"/>
  <c r="F97" i="3"/>
  <c r="J79" i="3"/>
  <c r="J85" i="3" s="1"/>
  <c r="J91" i="3"/>
  <c r="F96" i="2"/>
  <c r="F102" i="2" s="1"/>
  <c r="E91" i="4"/>
  <c r="E79" i="4"/>
  <c r="E85" i="4" s="1"/>
  <c r="E97" i="4" s="1"/>
  <c r="D91" i="2"/>
  <c r="D79" i="2"/>
  <c r="D85" i="2" s="1"/>
  <c r="D97" i="2" s="1"/>
  <c r="G90" i="4"/>
  <c r="G78" i="4"/>
  <c r="G84" i="4" s="1"/>
  <c r="G67" i="4"/>
  <c r="D97" i="3"/>
  <c r="E31" i="7"/>
  <c r="E42" i="7" s="1"/>
  <c r="E41" i="7"/>
  <c r="E52" i="7" s="1"/>
  <c r="J96" i="3"/>
  <c r="J102" i="3" s="1"/>
  <c r="F97" i="2" l="1"/>
  <c r="F97" i="4"/>
  <c r="H96" i="4"/>
  <c r="H102" i="4" s="1"/>
  <c r="I79" i="2"/>
  <c r="I85" i="2" s="1"/>
  <c r="I91" i="2"/>
  <c r="J97" i="3"/>
  <c r="J103" i="3" s="1"/>
  <c r="J105" i="3" s="1"/>
  <c r="J109" i="3" s="1"/>
  <c r="C106" i="2"/>
  <c r="C107" i="2" s="1"/>
  <c r="C103" i="2"/>
  <c r="C105" i="2" s="1"/>
  <c r="C109" i="2" s="1"/>
  <c r="C96" i="4"/>
  <c r="C102" i="4" s="1"/>
  <c r="H79" i="2"/>
  <c r="H85" i="2" s="1"/>
  <c r="H91" i="2"/>
  <c r="H97" i="3"/>
  <c r="H103" i="3" s="1"/>
  <c r="H105" i="3" s="1"/>
  <c r="H109" i="3" s="1"/>
  <c r="J79" i="4"/>
  <c r="J85" i="4" s="1"/>
  <c r="J91" i="4"/>
  <c r="E55" i="7"/>
  <c r="E56" i="7" s="1"/>
  <c r="E53" i="7"/>
  <c r="E54" i="7" s="1"/>
  <c r="E57" i="7" s="1"/>
  <c r="E58" i="7" s="1"/>
  <c r="E59" i="7" s="1"/>
  <c r="E60" i="7" s="1"/>
  <c r="D103" i="3"/>
  <c r="D105" i="3" s="1"/>
  <c r="D109" i="3" s="1"/>
  <c r="D106" i="3"/>
  <c r="D107" i="3" s="1"/>
  <c r="G79" i="4"/>
  <c r="G85" i="4" s="1"/>
  <c r="G91" i="4"/>
  <c r="G96" i="4"/>
  <c r="G102" i="4" s="1"/>
  <c r="I79" i="3"/>
  <c r="I85" i="3" s="1"/>
  <c r="I97" i="3" s="1"/>
  <c r="I103" i="3" s="1"/>
  <c r="I105" i="3" s="1"/>
  <c r="I109" i="3" s="1"/>
  <c r="I91" i="3"/>
  <c r="F103" i="3"/>
  <c r="F105" i="3" s="1"/>
  <c r="F106" i="3"/>
  <c r="F107" i="3" s="1"/>
  <c r="C91" i="4"/>
  <c r="C79" i="4"/>
  <c r="C85" i="4" s="1"/>
  <c r="D55" i="7"/>
  <c r="D56" i="7" s="1"/>
  <c r="D53" i="7"/>
  <c r="D54" i="7" s="1"/>
  <c r="D57" i="7" s="1"/>
  <c r="D58" i="7" s="1"/>
  <c r="D59" i="7" s="1"/>
  <c r="D60" i="7" s="1"/>
  <c r="E105" i="4"/>
  <c r="E109" i="4" s="1"/>
  <c r="H79" i="4"/>
  <c r="H85" i="4" s="1"/>
  <c r="H91" i="4"/>
  <c r="C55" i="7"/>
  <c r="C56" i="7" s="1"/>
  <c r="C53" i="7"/>
  <c r="C54" i="7" s="1"/>
  <c r="C97" i="3"/>
  <c r="I96" i="4"/>
  <c r="I102" i="4" s="1"/>
  <c r="F106" i="4"/>
  <c r="F107" i="4" s="1"/>
  <c r="F103" i="4"/>
  <c r="F105" i="4" s="1"/>
  <c r="F109" i="4" s="1"/>
  <c r="D97" i="4"/>
  <c r="E97" i="3"/>
  <c r="J91" i="2"/>
  <c r="J79" i="2"/>
  <c r="J85" i="2" s="1"/>
  <c r="F103" i="2"/>
  <c r="F105" i="2" s="1"/>
  <c r="F106" i="2"/>
  <c r="F107" i="2" s="1"/>
  <c r="D106" i="2"/>
  <c r="D107" i="2" s="1"/>
  <c r="D103" i="2"/>
  <c r="D105" i="2" s="1"/>
  <c r="E106" i="4"/>
  <c r="E107" i="4" s="1"/>
  <c r="E103" i="4"/>
  <c r="G79" i="3"/>
  <c r="G85" i="3" s="1"/>
  <c r="G91" i="3"/>
  <c r="E106" i="2"/>
  <c r="E107" i="2" s="1"/>
  <c r="E103" i="2"/>
  <c r="E105" i="2" s="1"/>
  <c r="E109" i="2" s="1"/>
  <c r="I96" i="3"/>
  <c r="I102" i="3" s="1"/>
  <c r="I91" i="4"/>
  <c r="I79" i="4"/>
  <c r="I85" i="4" s="1"/>
  <c r="I97" i="4" s="1"/>
  <c r="I103" i="4" s="1"/>
  <c r="I105" i="4" s="1"/>
  <c r="I109" i="4" s="1"/>
  <c r="I97" i="2" l="1"/>
  <c r="I103" i="2" s="1"/>
  <c r="I105" i="2" s="1"/>
  <c r="I109" i="2" s="1"/>
  <c r="C57" i="7"/>
  <c r="C58" i="7" s="1"/>
  <c r="C59" i="7" s="1"/>
  <c r="C60" i="7" s="1"/>
  <c r="D106" i="4"/>
  <c r="D107" i="4" s="1"/>
  <c r="D103" i="4"/>
  <c r="D105" i="4" s="1"/>
  <c r="C106" i="3"/>
  <c r="C107" i="3" s="1"/>
  <c r="C103" i="3"/>
  <c r="C105" i="3" s="1"/>
  <c r="F109" i="3"/>
  <c r="J97" i="2"/>
  <c r="J103" i="2" s="1"/>
  <c r="J105" i="2" s="1"/>
  <c r="J109" i="2" s="1"/>
  <c r="E103" i="3"/>
  <c r="E105" i="3" s="1"/>
  <c r="E106" i="3"/>
  <c r="E107" i="3" s="1"/>
  <c r="H97" i="2"/>
  <c r="H103" i="2" s="1"/>
  <c r="H105" i="2" s="1"/>
  <c r="H109" i="2" s="1"/>
  <c r="G97" i="4"/>
  <c r="G103" i="4" s="1"/>
  <c r="G105" i="4" s="1"/>
  <c r="G109" i="4" s="1"/>
  <c r="J97" i="4"/>
  <c r="J103" i="4" s="1"/>
  <c r="J105" i="4" s="1"/>
  <c r="J109" i="4" s="1"/>
  <c r="H97" i="4"/>
  <c r="H103" i="4" s="1"/>
  <c r="H105" i="4" s="1"/>
  <c r="H109" i="4" s="1"/>
  <c r="G97" i="3"/>
  <c r="G103" i="3" s="1"/>
  <c r="G105" i="3" s="1"/>
  <c r="G109" i="3" s="1"/>
  <c r="C97" i="4"/>
  <c r="F109" i="2"/>
  <c r="D109" i="2"/>
  <c r="K109" i="2" l="1"/>
  <c r="K119" i="2" s="1"/>
  <c r="K122" i="2" s="1"/>
  <c r="B18" i="6" s="1"/>
  <c r="E18" i="6" s="1"/>
  <c r="K110" i="2"/>
  <c r="E109" i="3"/>
  <c r="C103" i="4"/>
  <c r="C105" i="4" s="1"/>
  <c r="C106" i="4"/>
  <c r="C107" i="4" s="1"/>
  <c r="C109" i="3"/>
  <c r="D109" i="4"/>
  <c r="K109" i="3" l="1"/>
  <c r="K119" i="3" s="1"/>
  <c r="K122" i="3" s="1"/>
  <c r="B17" i="6" s="1"/>
  <c r="K110" i="3"/>
  <c r="C109" i="4"/>
  <c r="K110" i="4" l="1"/>
  <c r="K109" i="4"/>
  <c r="K119" i="4" s="1"/>
  <c r="K122" i="4" s="1"/>
  <c r="B19" i="6" s="1"/>
  <c r="E19" i="6" s="1"/>
  <c r="E17" i="6"/>
  <c r="B21" i="6" l="1"/>
  <c r="E21" i="6"/>
</calcChain>
</file>

<file path=xl/sharedStrings.xml><?xml version="1.0" encoding="utf-8"?>
<sst xmlns="http://schemas.openxmlformats.org/spreadsheetml/2006/main" count="625" uniqueCount="333">
  <si>
    <t>FinSurf — SOTP-DCF Inputs</t>
  </si>
  <si>
    <t>Phase 2 v3 — per-Segment WACC (Damodaran β), shared D/E + tax. Column C = Reasoning.</t>
  </si>
  <si>
    <t>── Company ──</t>
  </si>
  <si>
    <t>Company</t>
  </si>
  <si>
    <t>SGL Carbon SE</t>
  </si>
  <si>
    <t>Ticker</t>
  </si>
  <si>
    <t>SGL.DE</t>
  </si>
  <si>
    <t>Currency</t>
  </si>
  <si>
    <t>EUR</t>
  </si>
  <si>
    <t>Report Date (ISO)</t>
  </si>
  <si>
    <t>2025-12-31</t>
  </si>
  <si>
    <t>── Group Bilanz (Y0) ──</t>
  </si>
  <si>
    <t>Shares Outstanding (Mio.)</t>
  </si>
  <si>
    <t>Cash (Mio.)</t>
  </si>
  <si>
    <t>Total Debt ex-Leases (Mio.)</t>
  </si>
  <si>
    <t>Net Debt (Mio.) [calc]</t>
  </si>
  <si>
    <t>Minority Interest (Mio.)</t>
  </si>
  <si>
    <t>── WACC Build-Up (Group-Defaults; Segmente überschreiben β) ──</t>
  </si>
  <si>
    <t>← Reasoning (Writer befüllt)</t>
  </si>
  <si>
    <t>Risk-Free Rate (Rf)</t>
  </si>
  <si>
    <t>Bundesanleihe 10J ca. 31.12.2025</t>
  </si>
  <si>
    <t>Equity Risk Premium (ERP)</t>
  </si>
  <si>
    <t>Damodaran Europe (deterministisch)</t>
  </si>
  <si>
    <t>Unlevered Beta (Group, Fallback)</t>
  </si>
  <si>
    <t>Damodaran Sektor-Beta, aus data/industry_betas.json</t>
  </si>
  <si>
    <t>Target D/E</t>
  </si>
  <si>
    <t>(Kapitalstruktur-Annahme: Writer)</t>
  </si>
  <si>
    <t>Tax Rate</t>
  </si>
  <si>
    <t>(Effektiver Steuersatz: Writer)</t>
  </si>
  <si>
    <t>Levered Beta Group [calc, β→1 konvergiert]</t>
  </si>
  <si>
    <t>Country Risk Premium</t>
  </si>
  <si>
    <t>Deutschland/Europa 48,9% × 0% + USA 18,9% × 0% + China 13,4% × ~2,5% + Restasien 14,5% × ~1,5% + Sonstige 4,3% × ~2% = ca. 30 bps</t>
  </si>
  <si>
    <t>Specific Risk Premium</t>
  </si>
  <si>
    <t>SGL Carbon weist kumulierten Bilanzverlust SE von 1.120,7M€ auf (keine Dividendenfähigkeit). Zwei ausstehende Wandelanleihen (220,6M€ gesamt, Fälligkeit 2027/2028) mit Verwässerungspotenzial. Geringe Marktliquidität als Small-Cap (Börsenwert ca. 380M€). Governance: Standard (keine Mehrheitskontrolle durch einzelnen Aktionär außer SGL Group-Vergangenheit). Basis: balance_sheet und illiquidity (strukturell).</t>
  </si>
  <si>
    <t>Cost of Equity Group [calc, ≥ Kd + Nachrang-Spread]</t>
  </si>
  <si>
    <t>Cost of Debt pre-tax (Kd)</t>
  </si>
  <si>
    <t>Zwei Wandelanleihen Kupon 5,75% gesamt 220,6M€ + sonstige Debt ~27M. Zahlungswirksamer Zins 13,9M / Gross-Financial-Debt ~247M = 5,6%. Gesetzt 5,7% (leicht über gezahltem Satz wegen Refinanzierungsrisiko bei Fälligkeit 2027/2028 in potenziell höherem Zinsumfeld).</t>
  </si>
  <si>
    <t>Cost of Debt after-tax [calc]</t>
  </si>
  <si>
    <t>Equity Weight E/(D+E) [calc]</t>
  </si>
  <si>
    <t>Debt Weight D/(D+E) [calc]</t>
  </si>
  <si>
    <t>WACC Group [calc, =MAX(CAPM, Floor)]</t>
  </si>
  <si>
    <t>── Sensitivity-Shocks (Phase 2.5) ──</t>
  </si>
  <si>
    <t>Margin Shock (pp)</t>
  </si>
  <si>
    <t>Growth Shock (pp)</t>
  </si>
  <si>
    <t>WACC Floor (Group, Sektor-Anker)</t>
  </si>
  <si>
    <t>rf(Whg) + β_low(Sektor)×ERP — Writer (data/wacc_floors)</t>
  </si>
  <si>
    <t>Terminal Debt Weight D/(D+E) (firmeneigen, gehalten)</t>
  </si>
  <si>
    <t>Stable-Phase haelt die aktuelle Kapitalstruktur — Writer (terminal_debt_weight_for: current D/E oder Lock-Override)</t>
  </si>
  <si>
    <t>Terminal Kd pre-tax (Rf + base + slope×wD)</t>
  </si>
  <si>
    <t>Credit-Curve: Spread steigt mit Leverage (Anti-Free-Lunch)</t>
  </si>
  <si>
    <t>Terminal Kd after-tax [calc]</t>
  </si>
  <si>
    <t>Groessenpraemie (Marktkap-Band)</t>
  </si>
  <si>
    <t>Marktkap 491 Mio EUR (SGL.DE) → Small Cap (250-750 Mio): +2.50 pp auf Ke</t>
  </si>
  <si>
    <t>SOTP DCF [Base] — Segment-Level Forecast + Group-Aggregation</t>
  </si>
  <si>
    <t>Yellow = Inputs. Orange = Reasoning (Writer befüllt nach Review-Call). Blue = computed. Green = output.</t>
  </si>
  <si>
    <t>Graphite Solutions</t>
  </si>
  <si>
    <t>Process Technology</t>
  </si>
  <si>
    <t>Carbon Fibers</t>
  </si>
  <si>
    <t>Composite Solutions</t>
  </si>
  <si>
    <t>Segment 5</t>
  </si>
  <si>
    <t>Segment 6</t>
  </si>
  <si>
    <t>Segment 7</t>
  </si>
  <si>
    <t>Segment 8</t>
  </si>
  <si>
    <t>GROUP</t>
  </si>
  <si>
    <t>Segment name</t>
  </si>
  <si>
    <t>Y0 Revenue (Mio.)</t>
  </si>
  <si>
    <t>Revenue CAGR (5J)</t>
  </si>
  <si>
    <t>EBIT Margin Y1</t>
  </si>
  <si>
    <t>EBIT Margin Y1 (berichtet, IST)</t>
  </si>
  <si>
    <t>EBIT Margin Y5 (optional)</t>
  </si>
  <si>
    <t>Brutto-Capex / Revenue (Audit)</t>
  </si>
  <si>
    <t>D&amp;A / Revenue (Audit)</t>
  </si>
  <si>
    <t>Net Capex / Revenue (direkt, Y1)</t>
  </si>
  <si>
    <t>Terminal Growth</t>
  </si>
  <si>
    <t>Unlevered β (Damodaran, Segment)</t>
  </si>
  <si>
    <t>WACC-Floor (Sektor, Damodaran-Anker)</t>
  </si>
  <si>
    <t>Segment WACC [calc, =MAX(CAPM, Floor)]</t>
  </si>
  <si>
    <t>Segment CRP Override (leer = Group-CRP)</t>
  </si>
  <si>
    <t>Growth-Reasoning (Review-Call-Audit)</t>
  </si>
  <si>
    <t>Management guidet GS-Umsatz 2026 'leicht unter Vorjahr' (442,3 M€) — Y1 ca. 420-430M. Danach: SiC-Nachfrage zieht laut Management ab Ende 2026/2027 an (KI-Datencenter, Elektromobilität); X-energy SMR-Vertrag ~100M USD über 3 Jahre = ca. 30M€/Jahr ab 2026 Zusatzumsatz in GS. Gegenwind: weiterhin hohe Lagerbestände bei SiC-Kunden 2026, Preisdruck. 5-Jahres-CAGR 3% = vorsichtige Erholung deutlich unter demonstrierter Boom-Rate 2024 (SiC allein: -35% in 2025), verankert an Management-Prognose 'le...</t>
  </si>
  <si>
    <t>Management guidet PT 2026 'leichte Verschlechterung' Umsatz (unter 130,9M). Auftragseingang 2025 unter Vorjahr wegen Verschiebung von Großprojekten in der Chemieindustrie. 5-Jahres-CAGR 1% = Stufe 1 Guidance-Anker ('leichte Verschlechterung 2026' heißt &lt; 10%), dann mittelfristig moderate Erholung wenn Chemieindustrie Investitionen freisetzt. PT ist nischenpositioniert (Graphit-Wärmetauscher für korrosive Prozesse) mit internationalem Kundenstamm — stabiler, aber limitierter Wachstumspfad.</t>
  </si>
  <si>
    <t>CF-Segment schrumpft 2026 signifikant: Ganzjahreseffekt Schließung Moses Lake (USA) und Lavradio (Portugal) Mitte 2025 → Umsatz 2026 ca. 80-100M€ (ca. -35% vs 148,9M 2025). Management guidet FC (CF+CS kombiniert) 'deutliche Verschlechterung' Umsatz vs 257,7M 2025. Ab 2027 erste Umsatzbeiträge Verteidigungs-/Luft- und Raumfahrtmärkte plus BSCCB-Wachstum. 5-Jahres-CAGR -5% = Y1 Schrumpfung dominant, Y2-Y5 Recovery in Nischenmärkten. Kein historischer Anker für CAGR sinnvoll (fundamentale Neuaus...</t>
  </si>
  <si>
    <t>CS hat Folgeprojekte bei Bestandskunden gewonnen, Umsatzwirkung ab Mitte 2026. Management guidet FC (CF+CS) Umsatz 2026 'deutliche Verschlechterung' vs 257,7M (CF+CS 2025) — CF-Anteil dominiert diesen Rückgang; CS-Anteil ist eher flach bis leicht sinkend. 5-Jahres-CAGR 2% = verankert an neuen Folgeprojekten + sukzessiver Diversifikation in Verteidigung/Medizintechnik (aktuell 3,9%), teilweise offset durch anhaltenden Preisdruck Automobil. Niedrigerer als historischer (2021-2023) CS-Umsatz beg...</t>
  </si>
  <si>
    <t>Margin-Reasoning (Review-Call-Audit)</t>
  </si>
  <si>
    <t>reported_ebit_margin 7,9% = IFRS EBIT 34,8M / 442,3M. one_off_ebit_addback_pct +3,0% = (Wertminderung Sachanlagen Filze 10,6M non-cash IAS 36 + Restrukturierung GS 0,6M echt einmalig + KPA Amortisation akquirierter Intangibles 2,0M) / 442,3M — EBITA-Basis gerechtfertigt, da KPA Kaufpreisallokation aus IFRS 3 kein operativer Reinvestitionsbedarf. Run-Rate = 7,9% + 3,0% = 10,9%. Y1 11,0% = Run-Rate 10,9% + marginale Normalisierung auf Basis Management-Guidance EBITDA bereinigt ~81M auf ~420M Re...</t>
  </si>
  <si>
    <t>reported_ebit_margin 22,8% = IFRS EBIT 29,9M / 130,9M. Keine wesentlichen Sondereffekte in 2025 (EBIT = EBIT bereinigt ~30M). Y1 22,8% = reported (keine Bereinigung erforderlich). Y5 22,0% = Management guidet 'außerordentlich hohe bereinigte EBITDA-Marge 24,3% wird 2026 nicht erreicht' + 'leichte Verschlechterung EBITDA' → strukturell 22-23% EBIT bereinigt. Leichter Rückgang Y1→Y5 spiegelt Preisdruck Chemieindustrie wider (Verlagerung Investitionsentscheidungen, Wettbewerb). PT ist asset-ligh...</t>
  </si>
  <si>
    <t>reported_ebit_margin -33,2% = IFRS EBIT -49,4M / 148,9M. one_off_ebit_addback_pct +40,2% = (CF-Restrukturierungsaufwand 59,8M + Wertminderung 0,2M) / 148,9M. Die Restrukturierungsaufwendungen 59,8M sind echt einmalig: spezifisch benannte Standortschließungen (Moses Lake, Lavradio), abgegrenzt, abgeschlossen Mitte 2025 — kein wiederkehrendes Programm ab 2026. Non-cash-Anteil: Abwertung Sachanlagen/Vorräte 16,0M; Cash-Anteil (Personalmaßnahmen 15,9M, Rückbau/Vertragsstrafen 27,9M) ist ebenfalls...</t>
  </si>
  <si>
    <t>reported_ebit_margin -8,3% = IFRS EBIT -9,0M / 108,8M. one_off_ebit_addback_pct +13,1% = (Wertminderung Anlagevermögen CS 12,8M non-cash IAS 36 + Restrukturierung 0,5M + KPA 1,0M) / 108,8M = 14,3M / 108,8M. Run-Rate = -8,3% + 13,1% = +4,8% ≈ EBIT bereinigt 5,3/108,8 = 4,9% ✓. Y1 5,1% = leicht über Run-Rate 4,9% durch Kosteneinsparungen (Personalanpassungen) und neuen Folgeprojekten ab Mitte 2026 (partial-year-Effekt). Abweichung von reported -8,3% um +13,4pp: vollständig durch Wertminderung 1...</t>
  </si>
  <si>
    <t>Multiple-Gate (implied vs Sektor-Ceiling)</t>
  </si>
  <si>
    <t>ok: EV/EBITDA 6.8x &lt;= 1.1x x Median 9.7x (materials)</t>
  </si>
  <si>
    <t>WARN: EV/EBITDA 6.4x &lt; 0.4x Median 18.4x — Distress oder Input pruefen (kein Clamp)</t>
  </si>
  <si>
    <t>ok: EV/EBITDA 4.2x &lt;= 1.1x x Median 9.7x (materials)</t>
  </si>
  <si>
    <t>ok: EV/EBITDA 4.5x &lt;= 1.1x x Median 9.7x (materials)</t>
  </si>
  <si>
    <t>Y1 Revenue</t>
  </si>
  <si>
    <t>Y2 Revenue</t>
  </si>
  <si>
    <t>Y3 Revenue</t>
  </si>
  <si>
    <t>Y4 Revenue</t>
  </si>
  <si>
    <t>Y5 Revenue</t>
  </si>
  <si>
    <t>Net Capex / Revenue Y5 (optional, Forward-Struktur)</t>
  </si>
  <si>
    <t>Y1 EBIT Margin</t>
  </si>
  <si>
    <t>Y2 EBIT Margin</t>
  </si>
  <si>
    <t>Y3 EBIT Margin</t>
  </si>
  <si>
    <t>Y4 EBIT Margin</t>
  </si>
  <si>
    <t>Y5 EBIT Margin</t>
  </si>
  <si>
    <t>Y1 EBIT</t>
  </si>
  <si>
    <t>Y2 EBIT</t>
  </si>
  <si>
    <t>Y3 EBIT</t>
  </si>
  <si>
    <t>Y4 EBIT</t>
  </si>
  <si>
    <t>Y5 EBIT</t>
  </si>
  <si>
    <t>Y1 NOPAT (after-tax)</t>
  </si>
  <si>
    <t>Y2 NOPAT</t>
  </si>
  <si>
    <t>Y3 NOPAT</t>
  </si>
  <si>
    <t>Y4 NOPAT</t>
  </si>
  <si>
    <t>Y5 NOPAT</t>
  </si>
  <si>
    <t>Y1 Net Capex</t>
  </si>
  <si>
    <t>Y2 Net Capex</t>
  </si>
  <si>
    <t>Y3 Net Capex</t>
  </si>
  <si>
    <t>Y4 Net Capex</t>
  </si>
  <si>
    <t>Y5 Net Capex</t>
  </si>
  <si>
    <t>Y1 FCF</t>
  </si>
  <si>
    <t>Y2 FCF</t>
  </si>
  <si>
    <t>Y3 FCF</t>
  </si>
  <si>
    <t>Y4 FCF</t>
  </si>
  <si>
    <t>Y5 FCF</t>
  </si>
  <si>
    <t>PV(FCF Y1)</t>
  </si>
  <si>
    <t>PV(FCF Y2)</t>
  </si>
  <si>
    <t>PV(FCF Y3)</t>
  </si>
  <si>
    <t>PV(FCF Y4)</t>
  </si>
  <si>
    <t>PV(FCF Y5)</t>
  </si>
  <si>
    <t>── Stage-2 Fade Period (Year 6-10) ──</t>
  </si>
  <si>
    <t>Y6 Revenue (Fade)</t>
  </si>
  <si>
    <t>Y7 Revenue (Fade)</t>
  </si>
  <si>
    <t>Y8 Revenue (Fade)</t>
  </si>
  <si>
    <t>Y9 Revenue (Fade)</t>
  </si>
  <si>
    <t>Y10 Revenue (Fade)</t>
  </si>
  <si>
    <t>Y6 EBIT Margin (flat Y5)</t>
  </si>
  <si>
    <t>Y7 EBIT Margin (flat Y5)</t>
  </si>
  <si>
    <t>Y8 EBIT Margin (flat Y5)</t>
  </si>
  <si>
    <t>Y9 EBIT Margin (flat Y5)</t>
  </si>
  <si>
    <t>Y10 EBIT Margin (flat Y5)</t>
  </si>
  <si>
    <t>Y6 EBIT</t>
  </si>
  <si>
    <t>Y7 EBIT</t>
  </si>
  <si>
    <t>Y8 EBIT</t>
  </si>
  <si>
    <t>Y9 EBIT</t>
  </si>
  <si>
    <t>Y10 EBIT</t>
  </si>
  <si>
    <t>Y6 NOPAT</t>
  </si>
  <si>
    <t>Y7 NOPAT</t>
  </si>
  <si>
    <t>Y8 NOPAT</t>
  </si>
  <si>
    <t>Y9 NOPAT</t>
  </si>
  <si>
    <t>Y10 NOPAT</t>
  </si>
  <si>
    <t>Y6 Net Capex</t>
  </si>
  <si>
    <t>Y7 Net Capex</t>
  </si>
  <si>
    <t>Y8 Net Capex</t>
  </si>
  <si>
    <t>Y9 Net Capex</t>
  </si>
  <si>
    <t>Y10 Net Capex</t>
  </si>
  <si>
    <t>Y6 FCF</t>
  </si>
  <si>
    <t>Y7 FCF</t>
  </si>
  <si>
    <t>Y8 FCF</t>
  </si>
  <si>
    <t>Y9 FCF</t>
  </si>
  <si>
    <t>Y10 FCF</t>
  </si>
  <si>
    <t>PV(FCF Y6)</t>
  </si>
  <si>
    <t>PV(FCF Y7)</t>
  </si>
  <si>
    <t>PV(FCF Y8)</t>
  </si>
  <si>
    <t>PV(FCF Y9)</t>
  </si>
  <si>
    <t>PV(FCF Y10)</t>
  </si>
  <si>
    <t>Terminal WACC [calc, β→1 für Fade+Gordon]</t>
  </si>
  <si>
    <t>Σ PV(FCF Y1-Y10)</t>
  </si>
  <si>
    <t>Terminal Value (Gordon, FCF Y10)</t>
  </si>
  <si>
    <t>PV(Terminal Value)</t>
  </si>
  <si>
    <t>Segment EV</t>
  </si>
  <si>
    <t>EV-weighted WACC (avg)</t>
  </si>
  <si>
    <t>− Net Debt (ex Töchter, ex CF-Funding)</t>
  </si>
  <si>
    <t>− Minority Interest (adj.)</t>
  </si>
  <si>
    <t>± Corp. Overhead (kap.)</t>
  </si>
  <si>
    <t>± Töchter (Σ Mutter-Anteile, Block Z.124 ff.)</t>
  </si>
  <si>
    <t>+ Captive Finance (P/B × Equity-BW)</t>
  </si>
  <si>
    <t>± Binary Adj (Netto)</t>
  </si>
  <si>
    <t>± Multiple-Gate Adj (Sektor-Ceiling)</t>
  </si>
  <si>
    <t>− Operating-Cash-Floor (nicht ausschüttbar)</t>
  </si>
  <si>
    <t>Σ Equity Value</t>
  </si>
  <si>
    <t>÷ Shares Outstanding</t>
  </si>
  <si>
    <t>Price Target (per Share)</t>
  </si>
  <si>
    <t>SOTP DCF [Bull] — Segment-Level Forecast + Group-Aggregation</t>
  </si>
  <si>
    <t>SOTP DCF [Bear] — Segment-Level Forecast + Group-Aggregation</t>
  </si>
  <si>
    <t>SOTP — Binary Adjustments (Post-DCF)</t>
  </si>
  <si>
    <t>Einmal-Ereignisse: Litigation, M&amp;A, Restrukturierungen. Litigation IMMER negativ (Litigation-Sign-Lock). Netto = EV-Impact × Probability.</t>
  </si>
  <si>
    <t>Writer befüllt aus analysis.binary_adjustments.</t>
  </si>
  <si>
    <t>Name</t>
  </si>
  <si>
    <t>EV-Impact (Mio.)</t>
  </si>
  <si>
    <t>Probability</t>
  </si>
  <si>
    <t>Netto-EV (Mio.)</t>
  </si>
  <si>
    <t>Beschreibung / Evidenz</t>
  </si>
  <si>
    <t>Wandelanleihe-Refinanzierungsrisiko 2027/2028</t>
  </si>
  <si>
    <t>Wandelanleihe 2022/2027 (101,9M) und 2023/2028 (118,7M) müssen bei Fälligkeit refinanziert werden. Bei negativem Konzernergebnis und kumuliertem Bilanzverlust könnte Refinanzierung zu deutlich höheren Kosten oder mit Aktienverwässerung erfolgen. Barwert des Schaden-Szenarios bei +2pp höherem Refinanzierungszins über 5J auf 220M = ~22M, Wahrscheinlichkeit 30% = EV -6,6M. Szenario Aktienemission zusätzlich.</t>
  </si>
  <si>
    <t>Netto gesamt (Mio.)</t>
  </si>
  <si>
    <t>Netto pro Aktie</t>
  </si>
  <si>
    <t>SOTP — Bull/Base/Bear-Szenarien</t>
  </si>
  <si>
    <t>Pro Case ein eigenständiges DCF-Sheet (DCF Bull/Base/Bear). Die Group-PTs unten referenzieren diese Sheets LIVE — jeder Case ist segment-genau nachrechenbar.</t>
  </si>
  <si>
    <t>── Segment-Annahmen (pro Case) ──</t>
  </si>
  <si>
    <t>Segment</t>
  </si>
  <si>
    <t>CAGR Bull</t>
  </si>
  <si>
    <t>CAGR Base</t>
  </si>
  <si>
    <t>CAGR Bear</t>
  </si>
  <si>
    <t>Marge Y1 Bull</t>
  </si>
  <si>
    <t>Marge Y1 Base</t>
  </si>
  <si>
    <t>Marge Y1 Bear</t>
  </si>
  <si>
    <t>TG Bull</t>
  </si>
  <si>
    <t>TG Base</t>
  </si>
  <si>
    <t>TG Bear</t>
  </si>
  <si>
    <t>β_lev</t>
  </si>
  <si>
    <t>Δ Marge (pp)</t>
  </si>
  <si>
    <t>── Group Kursziele (live aus DCF-Sheets) ──</t>
  </si>
  <si>
    <t>Szenario</t>
  </si>
  <si>
    <t>PT roh (€/Aktie)</t>
  </si>
  <si>
    <t>Wahrscheinlichkeit</t>
  </si>
  <si>
    <t>Quelle</t>
  </si>
  <si>
    <t>PT nach Floor (≥0)</t>
  </si>
  <si>
    <t>Bull</t>
  </si>
  <si>
    <t>'DCF Bull'!K122</t>
  </si>
  <si>
    <t>Base</t>
  </si>
  <si>
    <t>'DCF Base'!K122</t>
  </si>
  <si>
    <t>Bear</t>
  </si>
  <si>
    <t>'DCF Bear'!K122</t>
  </si>
  <si>
    <t>#0a: Cases fließen ROH in die Gewichtung (Spalte B — ein negativer Bear trägt sein Downside); Floor (≥0) nur auf dem Aggregat. Spalte E = Anzeige je realisiertem Case.</t>
  </si>
  <si>
    <t>Gewichtetes Kursziel (Headline)</t>
  </si>
  <si>
    <t>Rohwert (vor 0-Floor):</t>
  </si>
  <si>
    <t>Sentiment (Wahrscheinlichkeits-Quelle)</t>
  </si>
  <si>
    <t>neutral</t>
  </si>
  <si>
    <t>Markt-implizit — Was muss passieren, damit der Kurs fair value ist?</t>
  </si>
  <si>
    <t>REIN ERKLÄREND, keine Bewertung. Kalibrierter Group-DCF: Base = Headline-PT (exakt), jede Hebel-Spalte = Marktpreis (exakt). Vereinfachte Group-Sicht; volle Segment-Granularität in den DCF-Sheets.</t>
  </si>
  <si>
    <t>Aktueller Kurs (Markt)</t>
  </si>
  <si>
    <t>Intrinsisch (Headline-PT)</t>
  </si>
  <si>
    <t>Divergenz (intrinsisch vs Markt)</t>
  </si>
  <si>
    <t>Trigger (|Divergenz| &gt; 25% ⇒ Analyse)</t>
  </si>
  <si>
    <t>JA — Analyse aktiv</t>
  </si>
  <si>
    <t>Impl. CAGR</t>
  </si>
  <si>
    <t>Impl. Marge</t>
  </si>
  <si>
    <t>Impl. WACC</t>
  </si>
  <si>
    <t>Group-Revenue Y0 (Mio.)</t>
  </si>
  <si>
    <t>Revenue-CAGR</t>
  </si>
  <si>
    <t>EBIT-Marge Y1</t>
  </si>
  <si>
    <t>Terminal-Marge (Y5)</t>
  </si>
  <si>
    <t>Net-Capex / Revenue</t>
  </si>
  <si>
    <t>WACC (Diskontierung)</t>
  </si>
  <si>
    <t>Steuersatz</t>
  </si>
  <si>
    <t>+ Aggregations-Bridge (Mio.)</t>
  </si>
  <si>
    <t>+ Bilanz/Overhead/CF/Binary/Szen. (Mio.)</t>
  </si>
  <si>
    <t>Aktien (Mio.)</t>
  </si>
  <si>
    <t>Revenue Y1</t>
  </si>
  <si>
    <t>Revenue Y2</t>
  </si>
  <si>
    <t>Revenue Y3</t>
  </si>
  <si>
    <t>Revenue Y4</t>
  </si>
  <si>
    <t>Revenue Y5</t>
  </si>
  <si>
    <t>Revenue Y6</t>
  </si>
  <si>
    <t>Revenue Y7</t>
  </si>
  <si>
    <t>Revenue Y8</t>
  </si>
  <si>
    <t>Revenue Y9</t>
  </si>
  <si>
    <t>Revenue Y10</t>
  </si>
  <si>
    <t>FCF Y1</t>
  </si>
  <si>
    <t>FCF Y2</t>
  </si>
  <si>
    <t>FCF Y3</t>
  </si>
  <si>
    <t>FCF Y4</t>
  </si>
  <si>
    <t>FCF Y5</t>
  </si>
  <si>
    <t>FCF Y6</t>
  </si>
  <si>
    <t>FCF Y7</t>
  </si>
  <si>
    <t>FCF Y8</t>
  </si>
  <si>
    <t>FCF Y9</t>
  </si>
  <si>
    <t>FCF Y10</t>
  </si>
  <si>
    <t>Group-DCF-EV</t>
  </si>
  <si>
    <t>Equity (EV + Bridges)</t>
  </si>
  <si>
    <t>Kursziel / Aktie</t>
  </si>
  <si>
    <t>PT − Ziel (Base=Headline, Hebel=Markt ⇒ ≈0)</t>
  </si>
  <si>
    <t>── Handels-Multiples (Yahoo Finance) — Kontext, KEINE Bewertung ──</t>
  </si>
  <si>
    <t>EV/Sales (primär — SBC-agnostisch)</t>
  </si>
  <si>
    <t>EV/EBITDA (nachrichtl., SBC-verzerrt)</t>
  </si>
  <si>
    <t>KGV trailing (nachrichtl., SBC-verzerrt)</t>
  </si>
  <si>
    <t>KGV forward</t>
  </si>
  <si>
    <t>Kurs/Buchwert</t>
  </si>
  <si>
    <t>EV/Sales-Historie (~5J, indikativ; split-bereinigt)</t>
  </si>
  <si>
    <t>Jahr</t>
  </si>
  <si>
    <t>EV/Sales</t>
  </si>
  <si>
    <t>── EV/EBITDA: Markt heute vs unser Kursziel vs 5J-Eigenhistorie — deskriptiv, KEIN Kursziel ──</t>
  </si>
  <si>
    <t>EV am Marktpreis (Group, Mio.)</t>
  </si>
  <si>
    <t>EV an unserem Kursziel (Group, Mio.)</t>
  </si>
  <si>
    <t>Group-EBITDA trailing (Mio.)</t>
  </si>
  <si>
    <t>Group-EBITDA t+1 (unsere Y1-Schätzung, Mio.)</t>
  </si>
  <si>
    <t>EV/EBITDA — Markt heute (trailing)</t>
  </si>
  <si>
    <t>EV/EBITDA — unser Kursziel (trailing)</t>
  </si>
  <si>
    <t>EV/EBITDA — Markt heute (t+1)</t>
  </si>
  <si>
    <t>EV/EBITDA — unser Kursziel (t+1)</t>
  </si>
  <si>
    <t>Eigene 5J-EV/EBITDA-Spanne (indikativ) — Anker für die Einordnung</t>
  </si>
  <si>
    <t>5J Minimum</t>
  </si>
  <si>
    <t>5J Median</t>
  </si>
  <si>
    <t>5J Maximum</t>
  </si>
  <si>
    <t>Markt vs unsere Annahmen</t>
  </si>
  <si>
    <t>Markt diskontiert ggü. unseren Annahmen</t>
  </si>
  <si>
    <t>Einordnung</t>
  </si>
  <si>
    <t>Der Markt zahlt heute rund 5.5x EV/EBITDA (trailing). Unser Kursziel entspricht rund 7.4x auf dem heutigen EBITDA (gleiche Basis, direkt mit der eigenen Historie vergleichbar). Das Markt-Niveau liegt im mittleren Bereich der eigenen 5J-Spanne (4.0x bis 6.4x). Der Markt diskontiert rund 36% gegenüber unseren Annahmen (er ist pessimistischer als unser Modell). Auf unserer Ergebnisschätzung für das kommende Jahr (t+1) entspricht das Kursziel rund 5.4x, der Markt 4.0x (anderer Nenner, nicht mit der Historie vergleichbar).</t>
  </si>
  <si>
    <t>── Peer-Gruppe: β-Herleitung (3J-Regression, Blume, unlevered) + Multiples-Band — deskriptiv ──</t>
  </si>
  <si>
    <t>β unlevered — Peer-Median (im WACC verwendet)</t>
  </si>
  <si>
    <t>Peer EV/EBITDA min / median / max (trailing)</t>
  </si>
  <si>
    <t>Peer</t>
  </si>
  <si>
    <t>β unlev</t>
  </si>
  <si>
    <t>β lev</t>
  </si>
  <si>
    <t>D/E (Markt)</t>
  </si>
  <si>
    <t>EV/EBITDA</t>
  </si>
  <si>
    <t>HXL</t>
  </si>
  <si>
    <t>EAF</t>
  </si>
  <si>
    <t>SOLB.BR</t>
  </si>
  <si>
    <t>Named-Range Targets (für sotp_valuation.py)</t>
  </si>
  <si>
    <t>Diese Sheet ist nur ein Index — die echten Werte stehen in Inputs/DCF.</t>
  </si>
  <si>
    <t>OUT_WACC (EV-weighted avg)</t>
  </si>
  <si>
    <t>'DCF Base'!K110</t>
  </si>
  <si>
    <t>OUT_NET_DEBT</t>
  </si>
  <si>
    <t>Inputs!B14</t>
  </si>
  <si>
    <t>OUT_MINORITY</t>
  </si>
  <si>
    <t>Inputs!B15</t>
  </si>
  <si>
    <t>OUT_SHARES</t>
  </si>
  <si>
    <t>Inputs!B11</t>
  </si>
  <si>
    <t>OUT_GROUP_EV</t>
  </si>
  <si>
    <t>'DCF Base'!K109</t>
  </si>
  <si>
    <t>OUT_EQUITY</t>
  </si>
  <si>
    <t>'DCF Base'!K119</t>
  </si>
  <si>
    <t>OUT_PRICE_TARGET</t>
  </si>
  <si>
    <t>OUT_SEG_EV_i</t>
  </si>
  <si>
    <t>'DCF Base'!C..J109 (i=1..8)</t>
  </si>
  <si>
    <t>OUT_SEG_WACC_i</t>
  </si>
  <si>
    <t>'DCF Base'!C..J16 (i=1..8)</t>
  </si>
  <si>
    <t>— Szenario-PTs —</t>
  </si>
  <si>
    <t>(Szenarien-Sheet, live ref auf je DCF-Sheet)</t>
  </si>
  <si>
    <t>DCF Bull → PT</t>
  </si>
  <si>
    <t>DCF Base → PT</t>
  </si>
  <si>
    <t>DCF Bear → 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</si>
</sst>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&quot;x&quot;"/>
    <numFmt numFmtId="166" formatCode="0.00&quot;x&quot;"/>
    <numFmt numFmtId="167" formatCode="0.0"/>
  </numFmts>
  <fonts count="11" x14ac:knownFonts="1">
    <font>
      <sz val="11"/>
      <color theme="1"/>
      <name val="Calibri"/>
      <family val="2"/>
      <scheme val="minor"/>
    </font>
    <font>
      <b/>
      <sz val="14"/>
      <name val="Calibri"/>
    </font>
    <font>
      <i/>
      <sz val="11"/>
      <color rgb="FF666666"/>
      <name val="Calibri"/>
    </font>
    <font>
      <b/>
      <sz val="11"/>
      <name val="Calibri"/>
    </font>
    <font>
      <i/>
      <sz val="11"/>
      <color rgb="FF886600"/>
      <name val="Calibri"/>
    </font>
    <font>
      <i/>
      <sz val="11"/>
      <color rgb="FFCC5500"/>
      <name val="Calibri"/>
    </font>
    <font>
      <i/>
      <sz val="9"/>
      <name val="Calibri"/>
    </font>
    <font>
      <b/>
      <sz val="12"/>
      <color rgb="FF0B5C2E"/>
      <name val="Calibri"/>
    </font>
    <font>
      <b/>
      <sz val="13"/>
      <name val="Calibri"/>
    </font>
    <font>
      <b/>
      <sz val="12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FFF2A0"/>
      </patternFill>
    </fill>
    <fill>
      <patternFill patternType="solid">
        <fgColor rgb="FFDCE6F2"/>
      </patternFill>
    </fill>
    <fill>
      <patternFill patternType="solid">
        <fgColor rgb="FFC8E6C9"/>
      </patternFill>
    </fill>
    <fill>
      <patternFill patternType="solid">
        <fgColor rgb="FFFFE0B2"/>
      </patternFill>
    </fill>
    <fill>
      <patternFill patternType="solid">
        <fgColor rgb="FFFFF2A0"/>
      </patternFill>
    </fill>
    <fill>
      <patternFill patternType="solid">
        <fgColor rgb="FFDCE6F2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0" borderId="0" xfId="0" applyFont="1"/>
    <xf numFmtId="4" fontId="0" fillId="3" borderId="1" xfId="0" applyNumberFormat="1" applyFill="1" applyBorder="1"/>
    <xf numFmtId="4" fontId="0" fillId="4" borderId="1" xfId="0" applyNumberFormat="1" applyFill="1" applyBorder="1"/>
    <xf numFmtId="10" fontId="0" fillId="3" borderId="1" xfId="0" applyNumberFormat="1" applyFill="1" applyBorder="1"/>
    <xf numFmtId="0" fontId="2" fillId="2" borderId="0" xfId="0" applyFont="1" applyFill="1"/>
    <xf numFmtId="2" fontId="0" fillId="3" borderId="1" xfId="0" applyNumberFormat="1" applyFill="1" applyBorder="1"/>
    <xf numFmtId="2" fontId="0" fillId="4" borderId="1" xfId="0" applyNumberFormat="1" applyFill="1" applyBorder="1"/>
    <xf numFmtId="10" fontId="0" fillId="4" borderId="1" xfId="0" applyNumberFormat="1" applyFill="1" applyBorder="1"/>
    <xf numFmtId="10" fontId="3" fillId="5" borderId="1" xfId="0" applyNumberFormat="1" applyFont="1" applyFill="1" applyBorder="1"/>
    <xf numFmtId="0" fontId="3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10" fontId="0" fillId="2" borderId="1" xfId="0" applyNumberFormat="1" applyFill="1" applyBorder="1"/>
    <xf numFmtId="0" fontId="4" fillId="0" borderId="0" xfId="0" applyFont="1"/>
    <xf numFmtId="0" fontId="5" fillId="0" borderId="0" xfId="0" applyFont="1"/>
    <xf numFmtId="0" fontId="6" fillId="6" borderId="1" xfId="0" applyFont="1" applyFill="1" applyBorder="1" applyAlignment="1">
      <alignment horizontal="left" vertical="top" wrapText="1"/>
    </xf>
    <xf numFmtId="0" fontId="3" fillId="5" borderId="0" xfId="0" applyFont="1" applyFill="1"/>
    <xf numFmtId="4" fontId="3" fillId="5" borderId="1" xfId="0" applyNumberFormat="1" applyFont="1" applyFill="1" applyBorder="1"/>
    <xf numFmtId="4" fontId="7" fillId="5" borderId="1" xfId="0" applyNumberFormat="1" applyFont="1" applyFill="1" applyBorder="1"/>
    <xf numFmtId="0" fontId="3" fillId="2" borderId="1" xfId="0" applyFont="1" applyFill="1" applyBorder="1"/>
    <xf numFmtId="49" fontId="0" fillId="3" borderId="1" xfId="0" applyNumberFormat="1" applyFill="1" applyBorder="1"/>
    <xf numFmtId="49" fontId="0" fillId="3" borderId="1" xfId="0" applyNumberFormat="1" applyFill="1" applyBorder="1" applyAlignment="1">
      <alignment vertical="top" wrapText="1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/>
    <xf numFmtId="0" fontId="8" fillId="0" borderId="0" xfId="0" applyFont="1"/>
    <xf numFmtId="164" fontId="0" fillId="4" borderId="1" xfId="0" applyNumberFormat="1" applyFill="1" applyBorder="1"/>
    <xf numFmtId="0" fontId="0" fillId="4" borderId="0" xfId="0" applyFill="1"/>
    <xf numFmtId="0" fontId="3" fillId="2" borderId="0" xfId="0" applyFont="1" applyFill="1"/>
    <xf numFmtId="4" fontId="0" fillId="5" borderId="1" xfId="0" applyNumberFormat="1" applyFill="1" applyBorder="1"/>
    <xf numFmtId="165" fontId="0" fillId="5" borderId="1" xfId="0" applyNumberFormat="1" applyFill="1" applyBorder="1"/>
    <xf numFmtId="0" fontId="9" fillId="0" borderId="0" xfId="0" applyFont="1"/>
    <xf numFmtId="0" fontId="10" fillId="0" borderId="2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164" fontId="0" fillId="7" borderId="2" xfId="0" applyNumberFormat="1" applyFill="1" applyBorder="1" applyAlignment="1">
      <alignment horizontal="center"/>
    </xf>
    <xf numFmtId="0" fontId="0" fillId="8" borderId="2" xfId="0" applyFill="1" applyBorder="1"/>
    <xf numFmtId="4" fontId="0" fillId="3" borderId="2" xfId="0" applyNumberFormat="1" applyFill="1" applyBorder="1"/>
    <xf numFmtId="0" fontId="0" fillId="4" borderId="2" xfId="0" applyFill="1" applyBorder="1"/>
    <xf numFmtId="3" fontId="0" fillId="3" borderId="2" xfId="0" applyNumberFormat="1" applyFill="1" applyBorder="1"/>
    <xf numFmtId="10" fontId="0" fillId="3" borderId="2" xfId="0" applyNumberFormat="1" applyFill="1" applyBorder="1"/>
    <xf numFmtId="10" fontId="0" fillId="7" borderId="2" xfId="0" applyNumberFormat="1" applyFill="1" applyBorder="1"/>
    <xf numFmtId="166" fontId="0" fillId="4" borderId="2" xfId="0" applyNumberFormat="1" applyFill="1" applyBorder="1"/>
    <xf numFmtId="165" fontId="0" fillId="4" borderId="2" xfId="0" applyNumberFormat="1" applyFill="1" applyBorder="1"/>
    <xf numFmtId="167" fontId="0" fillId="4" borderId="2" xfId="0" applyNumberFormat="1" applyFill="1" applyBorder="1"/>
    <xf numFmtId="0" fontId="0" fillId="0" borderId="2" xfId="0" applyBorder="1"/>
    <xf numFmtId="166" fontId="0" fillId="0" borderId="2" xfId="0" applyNumberFormat="1" applyBorder="1"/>
    <xf numFmtId="3" fontId="0" fillId="4" borderId="2" xfId="0" applyNumberFormat="1" applyFill="1" applyBorder="1"/>
    <xf numFmtId="0" fontId="0" fillId="5" borderId="2" xfId="0" applyFill="1" applyBorder="1"/>
    <xf numFmtId="2" fontId="0" fillId="5" borderId="2" xfId="0" applyNumberFormat="1" applyFill="1" applyBorder="1"/>
    <xf numFmtId="2" fontId="0" fillId="0" borderId="2" xfId="0" applyNumberFormat="1" applyBorder="1"/>
    <xf numFmtId="165" fontId="0" fillId="0" borderId="2" xfId="0" applyNumberForma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workbookViewId="0"/>
  </sheetViews>
  <sheetFormatPr baseColWidth="10" defaultColWidth="9.23046875" defaultRowHeight="14.6" x14ac:dyDescent="0.4"/>
  <cols>
    <col min="1" max="1" width="32" customWidth="1"/>
    <col min="2" max="2" width="18" customWidth="1"/>
    <col min="3" max="3" width="60" customWidth="1"/>
  </cols>
  <sheetData>
    <row r="1" spans="1:2" ht="18.45" customHeight="1" x14ac:dyDescent="0.5">
      <c r="A1" s="1" t="s">
        <v>0</v>
      </c>
    </row>
    <row r="2" spans="1:2" x14ac:dyDescent="0.4">
      <c r="A2" s="2" t="s">
        <v>1</v>
      </c>
    </row>
    <row r="4" spans="1:2" x14ac:dyDescent="0.4">
      <c r="A4" s="3" t="s">
        <v>2</v>
      </c>
    </row>
    <row r="5" spans="1:2" x14ac:dyDescent="0.4">
      <c r="A5" s="4" t="s">
        <v>3</v>
      </c>
      <c r="B5" t="s">
        <v>4</v>
      </c>
    </row>
    <row r="6" spans="1:2" x14ac:dyDescent="0.4">
      <c r="A6" s="4" t="s">
        <v>5</v>
      </c>
      <c r="B6" t="s">
        <v>6</v>
      </c>
    </row>
    <row r="7" spans="1:2" x14ac:dyDescent="0.4">
      <c r="A7" s="4" t="s">
        <v>7</v>
      </c>
      <c r="B7" t="s">
        <v>8</v>
      </c>
    </row>
    <row r="8" spans="1:2" x14ac:dyDescent="0.4">
      <c r="A8" s="4" t="s">
        <v>9</v>
      </c>
      <c r="B8" t="s">
        <v>10</v>
      </c>
    </row>
    <row r="10" spans="1:2" x14ac:dyDescent="0.4">
      <c r="A10" s="3" t="s">
        <v>11</v>
      </c>
    </row>
    <row r="11" spans="1:2" x14ac:dyDescent="0.4">
      <c r="A11" s="4" t="s">
        <v>12</v>
      </c>
      <c r="B11" s="5">
        <v>122.3</v>
      </c>
    </row>
    <row r="12" spans="1:2" x14ac:dyDescent="0.4">
      <c r="A12" s="4" t="s">
        <v>13</v>
      </c>
      <c r="B12" s="5">
        <v>148.9</v>
      </c>
    </row>
    <row r="13" spans="1:2" x14ac:dyDescent="0.4">
      <c r="A13" s="4" t="s">
        <v>14</v>
      </c>
      <c r="B13" s="5">
        <v>247.8</v>
      </c>
    </row>
    <row r="14" spans="1:2" x14ac:dyDescent="0.4">
      <c r="A14" s="4" t="s">
        <v>15</v>
      </c>
      <c r="B14" s="6">
        <f>B13-B12</f>
        <v>98.9</v>
      </c>
    </row>
    <row r="15" spans="1:2" x14ac:dyDescent="0.4">
      <c r="A15" s="4" t="s">
        <v>16</v>
      </c>
      <c r="B15" s="5">
        <v>5</v>
      </c>
    </row>
    <row r="17" spans="1:3" x14ac:dyDescent="0.4">
      <c r="A17" s="3" t="s">
        <v>17</v>
      </c>
      <c r="C17" s="2" t="s">
        <v>18</v>
      </c>
    </row>
    <row r="18" spans="1:3" x14ac:dyDescent="0.4">
      <c r="A18" s="4" t="s">
        <v>19</v>
      </c>
      <c r="B18" s="7">
        <v>2.5000000000000001E-2</v>
      </c>
      <c r="C18" s="8" t="s">
        <v>20</v>
      </c>
    </row>
    <row r="19" spans="1:3" x14ac:dyDescent="0.4">
      <c r="A19" s="4" t="s">
        <v>21</v>
      </c>
      <c r="B19" s="7">
        <v>5.7027500000000002E-2</v>
      </c>
      <c r="C19" s="8" t="s">
        <v>22</v>
      </c>
    </row>
    <row r="20" spans="1:3" x14ac:dyDescent="0.4">
      <c r="A20" s="4" t="s">
        <v>23</v>
      </c>
      <c r="B20" s="9">
        <v>1.0149999999999999</v>
      </c>
      <c r="C20" s="8" t="s">
        <v>24</v>
      </c>
    </row>
    <row r="21" spans="1:3" x14ac:dyDescent="0.4">
      <c r="A21" s="4" t="s">
        <v>25</v>
      </c>
      <c r="B21" s="9">
        <v>0.505</v>
      </c>
      <c r="C21" s="8" t="s">
        <v>26</v>
      </c>
    </row>
    <row r="22" spans="1:3" x14ac:dyDescent="0.4">
      <c r="A22" s="4" t="s">
        <v>27</v>
      </c>
      <c r="B22" s="7">
        <v>0.3</v>
      </c>
      <c r="C22" s="8" t="s">
        <v>28</v>
      </c>
    </row>
    <row r="23" spans="1:3" x14ac:dyDescent="0.4">
      <c r="A23" s="4" t="s">
        <v>29</v>
      </c>
      <c r="B23" s="10">
        <f>(1-0.33)*(B20*(1+(1-B22)*B21))+0.33</f>
        <v>1.2504476749999998</v>
      </c>
    </row>
    <row r="24" spans="1:3" x14ac:dyDescent="0.4">
      <c r="A24" s="4" t="s">
        <v>30</v>
      </c>
      <c r="B24" s="7">
        <v>3.0000000000000001E-3</v>
      </c>
      <c r="C24" s="8" t="s">
        <v>31</v>
      </c>
    </row>
    <row r="25" spans="1:3" x14ac:dyDescent="0.4">
      <c r="A25" s="4" t="s">
        <v>32</v>
      </c>
      <c r="B25" s="7">
        <v>5.0000000000000001E-3</v>
      </c>
      <c r="C25" s="8" t="s">
        <v>33</v>
      </c>
    </row>
    <row r="26" spans="1:3" x14ac:dyDescent="0.4">
      <c r="A26" s="4" t="s">
        <v>34</v>
      </c>
      <c r="B26" s="11">
        <f>MAX(B18+B23*B19+B24+B25+B39,MIN(B27,0.08)+0.025)</f>
        <v>0.1293099047860625</v>
      </c>
    </row>
    <row r="27" spans="1:3" x14ac:dyDescent="0.4">
      <c r="A27" s="4" t="s">
        <v>35</v>
      </c>
      <c r="B27" s="7">
        <v>5.7000000000000002E-2</v>
      </c>
      <c r="C27" s="8" t="s">
        <v>36</v>
      </c>
    </row>
    <row r="28" spans="1:3" x14ac:dyDescent="0.4">
      <c r="A28" s="4" t="s">
        <v>37</v>
      </c>
      <c r="B28" s="11">
        <f>B27*(1-B22)</f>
        <v>3.9899999999999998E-2</v>
      </c>
    </row>
    <row r="29" spans="1:3" x14ac:dyDescent="0.4">
      <c r="A29" s="4" t="s">
        <v>38</v>
      </c>
      <c r="B29" s="11">
        <f>1/(1+B21)</f>
        <v>0.66445182724252494</v>
      </c>
    </row>
    <row r="30" spans="1:3" x14ac:dyDescent="0.4">
      <c r="A30" s="4" t="s">
        <v>39</v>
      </c>
      <c r="B30" s="11">
        <f>B21/(1+B21)</f>
        <v>0.33554817275747512</v>
      </c>
    </row>
    <row r="31" spans="1:3" x14ac:dyDescent="0.4">
      <c r="A31" s="4" t="s">
        <v>40</v>
      </c>
      <c r="B31" s="12">
        <f>MAX(B26*B29+B28*B30,B35)</f>
        <v>9.9308574608679395E-2</v>
      </c>
    </row>
    <row r="32" spans="1:3" x14ac:dyDescent="0.4">
      <c r="A32" s="3" t="s">
        <v>41</v>
      </c>
    </row>
    <row r="33" spans="1:3" x14ac:dyDescent="0.4">
      <c r="A33" s="4" t="s">
        <v>42</v>
      </c>
      <c r="B33" s="7">
        <v>2.5000000000000001E-2</v>
      </c>
    </row>
    <row r="34" spans="1:3" x14ac:dyDescent="0.4">
      <c r="A34" s="4" t="s">
        <v>43</v>
      </c>
      <c r="B34" s="7">
        <v>1.4999999999999999E-2</v>
      </c>
    </row>
    <row r="35" spans="1:3" x14ac:dyDescent="0.4">
      <c r="A35" s="4" t="s">
        <v>44</v>
      </c>
      <c r="B35" s="7">
        <v>0</v>
      </c>
      <c r="C35" s="8" t="s">
        <v>45</v>
      </c>
    </row>
    <row r="36" spans="1:3" x14ac:dyDescent="0.4">
      <c r="A36" s="4" t="s">
        <v>46</v>
      </c>
      <c r="B36" s="7">
        <v>0.23549999999999999</v>
      </c>
      <c r="C36" s="8" t="s">
        <v>47</v>
      </c>
    </row>
    <row r="37" spans="1:3" x14ac:dyDescent="0.4">
      <c r="A37" s="4" t="s">
        <v>48</v>
      </c>
      <c r="B37" s="11">
        <f>B18+0.008+0.02*B36</f>
        <v>3.771E-2</v>
      </c>
      <c r="C37" s="8" t="s">
        <v>49</v>
      </c>
    </row>
    <row r="38" spans="1:3" x14ac:dyDescent="0.4">
      <c r="A38" s="4" t="s">
        <v>50</v>
      </c>
      <c r="B38" s="11">
        <f>B37*(1-B22)</f>
        <v>2.6397E-2</v>
      </c>
    </row>
    <row r="39" spans="1:3" x14ac:dyDescent="0.4">
      <c r="A39" s="4" t="s">
        <v>51</v>
      </c>
      <c r="B39" s="7">
        <v>2.5000000000000001E-2</v>
      </c>
      <c r="C39" s="8" t="s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2"/>
  <sheetViews>
    <sheetView workbookViewId="0"/>
  </sheetViews>
  <sheetFormatPr baseColWidth="10" defaultColWidth="9.23046875" defaultRowHeight="14.6" x14ac:dyDescent="0.4"/>
  <cols>
    <col min="1" max="1" width="30" customWidth="1"/>
    <col min="2" max="2" width="4" customWidth="1"/>
    <col min="3" max="11" width="14" customWidth="1"/>
  </cols>
  <sheetData>
    <row r="1" spans="1:11" ht="18.45" customHeight="1" x14ac:dyDescent="0.5">
      <c r="A1" s="1" t="s">
        <v>53</v>
      </c>
    </row>
    <row r="2" spans="1:11" x14ac:dyDescent="0.4">
      <c r="A2" s="2" t="s">
        <v>54</v>
      </c>
    </row>
    <row r="3" spans="1:11" x14ac:dyDescent="0.4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4">
      <c r="A4" s="4" t="s">
        <v>64</v>
      </c>
      <c r="C4" s="14" t="s">
        <v>55</v>
      </c>
      <c r="D4" s="14" t="s">
        <v>56</v>
      </c>
      <c r="E4" s="14" t="s">
        <v>57</v>
      </c>
      <c r="F4" s="14" t="s">
        <v>58</v>
      </c>
      <c r="G4" s="14"/>
      <c r="H4" s="14"/>
      <c r="I4" s="14"/>
      <c r="J4" s="14"/>
    </row>
    <row r="5" spans="1:11" x14ac:dyDescent="0.4">
      <c r="A5" s="4" t="s">
        <v>65</v>
      </c>
      <c r="C5" s="5">
        <v>442.3</v>
      </c>
      <c r="D5" s="5">
        <v>130.9</v>
      </c>
      <c r="E5" s="5">
        <v>148.9</v>
      </c>
      <c r="F5" s="5">
        <v>108.8</v>
      </c>
      <c r="G5" s="5"/>
      <c r="H5" s="5"/>
      <c r="I5" s="5"/>
      <c r="J5" s="5"/>
    </row>
    <row r="6" spans="1:11" x14ac:dyDescent="0.4">
      <c r="A6" s="4" t="s">
        <v>66</v>
      </c>
      <c r="C6" s="7">
        <v>0.03</v>
      </c>
      <c r="D6" s="7">
        <v>0.01</v>
      </c>
      <c r="E6" s="7">
        <v>-0.05</v>
      </c>
      <c r="F6" s="7">
        <v>0.02</v>
      </c>
      <c r="G6" s="7"/>
      <c r="H6" s="7"/>
      <c r="I6" s="7"/>
      <c r="J6" s="7"/>
    </row>
    <row r="7" spans="1:11" x14ac:dyDescent="0.4">
      <c r="A7" s="4" t="s">
        <v>67</v>
      </c>
      <c r="C7" s="7">
        <v>0.109</v>
      </c>
      <c r="D7" s="7">
        <v>0.22800000000000001</v>
      </c>
      <c r="E7" s="7">
        <v>7.0999999999999994E-2</v>
      </c>
      <c r="F7" s="7">
        <v>5.0999999999999997E-2</v>
      </c>
      <c r="G7" s="7"/>
      <c r="H7" s="7"/>
      <c r="I7" s="7"/>
      <c r="J7" s="7"/>
    </row>
    <row r="8" spans="1:11" x14ac:dyDescent="0.4">
      <c r="A8" s="4" t="s">
        <v>68</v>
      </c>
      <c r="C8" s="15">
        <v>7.9000000000000001E-2</v>
      </c>
      <c r="D8" s="15">
        <v>0.22800000000000001</v>
      </c>
      <c r="E8" s="15">
        <v>-0.33200000000000002</v>
      </c>
      <c r="F8" s="15">
        <v>-8.3000000000000004E-2</v>
      </c>
      <c r="G8" s="15"/>
      <c r="H8" s="15"/>
      <c r="I8" s="15"/>
      <c r="J8" s="15"/>
    </row>
    <row r="9" spans="1:11" x14ac:dyDescent="0.4">
      <c r="A9" s="4" t="s">
        <v>69</v>
      </c>
      <c r="C9" s="7">
        <v>0.13500000000000001</v>
      </c>
      <c r="D9" s="7">
        <v>0.18</v>
      </c>
      <c r="E9" s="7">
        <v>0.09</v>
      </c>
      <c r="F9" s="7">
        <v>0.08</v>
      </c>
      <c r="G9" s="7"/>
      <c r="H9" s="7"/>
      <c r="I9" s="7"/>
      <c r="J9" s="7"/>
    </row>
    <row r="10" spans="1:11" x14ac:dyDescent="0.4">
      <c r="A10" s="4" t="s">
        <v>70</v>
      </c>
      <c r="C10" s="7">
        <v>9.8000000000000004E-2</v>
      </c>
      <c r="D10" s="7">
        <v>8.9999999999999993E-3</v>
      </c>
      <c r="E10" s="7">
        <v>3.0000000000000001E-3</v>
      </c>
      <c r="F10" s="7">
        <v>5.1999999999999998E-2</v>
      </c>
      <c r="G10" s="7"/>
      <c r="H10" s="7"/>
      <c r="I10" s="7"/>
      <c r="J10" s="7"/>
    </row>
    <row r="11" spans="1:11" x14ac:dyDescent="0.4">
      <c r="A11" s="4" t="s">
        <v>71</v>
      </c>
      <c r="C11" s="7">
        <v>7.4999999999999997E-2</v>
      </c>
      <c r="D11" s="7">
        <v>1.4E-2</v>
      </c>
      <c r="E11" s="7">
        <v>2.4E-2</v>
      </c>
      <c r="F11" s="7">
        <v>5.6000000000000001E-2</v>
      </c>
      <c r="G11" s="7"/>
      <c r="H11" s="7"/>
      <c r="I11" s="7"/>
      <c r="J11" s="7"/>
    </row>
    <row r="12" spans="1:11" x14ac:dyDescent="0.4">
      <c r="A12" s="4" t="s">
        <v>72</v>
      </c>
      <c r="C12" s="7">
        <v>2.3E-2</v>
      </c>
      <c r="D12" s="7">
        <v>0</v>
      </c>
      <c r="E12" s="7">
        <v>0</v>
      </c>
      <c r="F12" s="7">
        <v>0</v>
      </c>
      <c r="G12" s="7"/>
      <c r="H12" s="7"/>
      <c r="I12" s="7"/>
      <c r="J12" s="7"/>
    </row>
    <row r="13" spans="1:11" x14ac:dyDescent="0.4">
      <c r="A13" s="4" t="s">
        <v>73</v>
      </c>
      <c r="C13" s="7">
        <v>2.5000000000000001E-2</v>
      </c>
      <c r="D13" s="7">
        <v>0.01</v>
      </c>
      <c r="E13" s="7">
        <v>0.02</v>
      </c>
      <c r="F13" s="7">
        <v>0.02</v>
      </c>
      <c r="G13" s="7"/>
      <c r="H13" s="7"/>
      <c r="I13" s="7"/>
      <c r="J13" s="7"/>
    </row>
    <row r="14" spans="1:11" x14ac:dyDescent="0.4">
      <c r="A14" s="4" t="s">
        <v>74</v>
      </c>
      <c r="C14" s="9">
        <v>1.0149999999999999</v>
      </c>
      <c r="D14" s="9">
        <v>1.06575</v>
      </c>
      <c r="E14" s="9">
        <v>1.0149999999999999</v>
      </c>
      <c r="F14" s="9">
        <v>1.0149999999999999</v>
      </c>
      <c r="G14" s="9"/>
      <c r="H14" s="9"/>
      <c r="I14" s="9"/>
      <c r="J14" s="9"/>
    </row>
    <row r="15" spans="1:11" x14ac:dyDescent="0.4">
      <c r="A15" s="4" t="s">
        <v>75</v>
      </c>
      <c r="C15" s="7">
        <v>0</v>
      </c>
      <c r="D15" s="7">
        <v>0</v>
      </c>
      <c r="E15" s="7">
        <v>0</v>
      </c>
      <c r="F15" s="7">
        <v>0</v>
      </c>
      <c r="G15" s="7"/>
      <c r="H15" s="7"/>
      <c r="I15" s="7"/>
      <c r="J15" s="7"/>
    </row>
    <row r="16" spans="1:11" x14ac:dyDescent="0.4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9.9308574608679395E-2</v>
      </c>
      <c r="D16" s="11">
        <f>MAX((MAX(Inputs!B18+((1-0.33)*D14*(1+(1-Inputs!B22)*Inputs!B21)+0.33)*Inputs!B19+IF(ISBLANK(D17),Inputs!B24,D17)+Inputs!B25+Inputs!B39,MIN(Inputs!B27,0.08)+0.025))*Inputs!B29+Inputs!B28*Inputs!B30,D15)</f>
        <v>0.10105245599692068</v>
      </c>
      <c r="E16" s="11">
        <f>MAX((MAX(Inputs!B18+((1-0.33)*E14*(1+(1-Inputs!B22)*Inputs!B21)+0.33)*Inputs!B19+IF(ISBLANK(E17),Inputs!B24,E17)+Inputs!B25+Inputs!B39,MIN(Inputs!B27,0.08)+0.025))*Inputs!B29+Inputs!B28*Inputs!B30,E15)</f>
        <v>9.9308574608679395E-2</v>
      </c>
      <c r="F16" s="11">
        <f>MAX((MAX(Inputs!B18+((1-0.33)*F14*(1+(1-Inputs!B22)*Inputs!B21)+0.33)*Inputs!B19+IF(ISBLANK(F17),Inputs!B24,F17)+Inputs!B25+Inputs!B39,MIN(Inputs!B27,0.08)+0.025))*Inputs!B29+Inputs!B28*Inputs!B30,F15)</f>
        <v>9.9308574608679395E-2</v>
      </c>
      <c r="G16" s="11">
        <f>MAX((MAX(Inputs!B18+((1-0.33)*G14*(1+(1-Inputs!B22)*Inputs!B21)+0.33)*Inputs!B19+IF(ISBLANK(G17),Inputs!B24,G17)+Inputs!B25+Inputs!B39,MIN(Inputs!B27,0.08)+0.025))*Inputs!B29+Inputs!B28*Inputs!B30,G15)</f>
        <v>6.7873421926910302E-2</v>
      </c>
      <c r="H16" s="11">
        <f>MAX((MAX(Inputs!B18+((1-0.33)*H14*(1+(1-Inputs!B22)*Inputs!B21)+0.33)*Inputs!B19+IF(ISBLANK(H17),Inputs!B24,H17)+Inputs!B25+Inputs!B39,MIN(Inputs!B27,0.08)+0.025))*Inputs!B29+Inputs!B28*Inputs!B30,H15)</f>
        <v>6.7873421926910302E-2</v>
      </c>
      <c r="I16" s="11">
        <f>MAX((MAX(Inputs!B18+((1-0.33)*I14*(1+(1-Inputs!B22)*Inputs!B21)+0.33)*Inputs!B19+IF(ISBLANK(I17),Inputs!B24,I17)+Inputs!B25+Inputs!B39,MIN(Inputs!B27,0.08)+0.025))*Inputs!B29+Inputs!B28*Inputs!B30,I15)</f>
        <v>6.7873421926910302E-2</v>
      </c>
      <c r="J16" s="11">
        <f>MAX((MAX(Inputs!B18+((1-0.33)*J14*(1+(1-Inputs!B22)*Inputs!B21)+0.33)*Inputs!B19+IF(ISBLANK(J17),Inputs!B24,J17)+Inputs!B25+Inputs!B39,MIN(Inputs!B27,0.08)+0.025))*Inputs!B29+Inputs!B28*Inputs!B30,J15)</f>
        <v>6.7873421926910302E-2</v>
      </c>
    </row>
    <row r="17" spans="1:10" x14ac:dyDescent="0.4">
      <c r="A17" s="16" t="s">
        <v>77</v>
      </c>
      <c r="C17" s="7"/>
      <c r="D17" s="7"/>
      <c r="E17" s="7"/>
      <c r="F17" s="7"/>
      <c r="G17" s="7"/>
      <c r="H17" s="7"/>
      <c r="I17" s="7"/>
      <c r="J17" s="7"/>
    </row>
    <row r="18" spans="1:10" ht="40" customHeight="1" x14ac:dyDescent="0.4">
      <c r="A18" s="17" t="s">
        <v>78</v>
      </c>
      <c r="C18" s="18" t="s">
        <v>79</v>
      </c>
      <c r="D18" s="18" t="s">
        <v>80</v>
      </c>
      <c r="E18" s="18" t="s">
        <v>81</v>
      </c>
      <c r="F18" s="18" t="s">
        <v>82</v>
      </c>
      <c r="G18" s="18"/>
      <c r="H18" s="18"/>
      <c r="I18" s="18"/>
      <c r="J18" s="18"/>
    </row>
    <row r="19" spans="1:10" ht="40" customHeight="1" x14ac:dyDescent="0.4">
      <c r="A19" s="17" t="s">
        <v>83</v>
      </c>
      <c r="C19" s="18" t="s">
        <v>84</v>
      </c>
      <c r="D19" s="18" t="s">
        <v>85</v>
      </c>
      <c r="E19" s="18" t="s">
        <v>86</v>
      </c>
      <c r="F19" s="18" t="s">
        <v>87</v>
      </c>
      <c r="G19" s="18"/>
      <c r="H19" s="18"/>
      <c r="I19" s="18"/>
      <c r="J19" s="18"/>
    </row>
    <row r="20" spans="1:10" ht="28" customHeight="1" x14ac:dyDescent="0.4">
      <c r="A20" s="17" t="s">
        <v>88</v>
      </c>
      <c r="C20" s="18" t="s">
        <v>89</v>
      </c>
      <c r="D20" s="18" t="s">
        <v>90</v>
      </c>
      <c r="E20" s="18" t="s">
        <v>91</v>
      </c>
      <c r="F20" s="18" t="s">
        <v>92</v>
      </c>
      <c r="G20" s="18"/>
      <c r="H20" s="18"/>
      <c r="I20" s="18"/>
      <c r="J20" s="18"/>
    </row>
    <row r="21" spans="1:10" x14ac:dyDescent="0.4">
      <c r="A21" s="4" t="s">
        <v>93</v>
      </c>
      <c r="C21" s="6">
        <f t="shared" ref="C21:J21" si="0">C5*(1+C6)^1</f>
        <v>455.56900000000002</v>
      </c>
      <c r="D21" s="6">
        <f t="shared" si="0"/>
        <v>132.209</v>
      </c>
      <c r="E21" s="6">
        <f t="shared" si="0"/>
        <v>141.45500000000001</v>
      </c>
      <c r="F21" s="6">
        <f t="shared" si="0"/>
        <v>110.976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4">
      <c r="A22" s="4" t="s">
        <v>94</v>
      </c>
      <c r="C22" s="6">
        <f t="shared" ref="C22:J22" si="1">C5*(1+C6)^2</f>
        <v>469.23606999999998</v>
      </c>
      <c r="D22" s="6">
        <f t="shared" si="1"/>
        <v>133.53109000000001</v>
      </c>
      <c r="E22" s="6">
        <f t="shared" si="1"/>
        <v>134.38225</v>
      </c>
      <c r="F22" s="6">
        <f t="shared" si="1"/>
        <v>113.19552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4">
      <c r="A23" s="4" t="s">
        <v>95</v>
      </c>
      <c r="C23" s="6">
        <f t="shared" ref="C23:J23" si="2">C5*(1+C6)^3</f>
        <v>483.31315210000002</v>
      </c>
      <c r="D23" s="6">
        <f t="shared" si="2"/>
        <v>134.8664009</v>
      </c>
      <c r="E23" s="6">
        <f t="shared" si="2"/>
        <v>127.66313749999999</v>
      </c>
      <c r="F23" s="6">
        <f t="shared" si="2"/>
        <v>115.45943039999999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4">
      <c r="A24" s="4" t="s">
        <v>96</v>
      </c>
      <c r="C24" s="6">
        <f t="shared" ref="C24:J24" si="3">C5*(1+C6)^4</f>
        <v>497.81254666299998</v>
      </c>
      <c r="D24" s="6">
        <f t="shared" si="3"/>
        <v>136.21506490900001</v>
      </c>
      <c r="E24" s="6">
        <f t="shared" si="3"/>
        <v>121.27998062500001</v>
      </c>
      <c r="F24" s="6">
        <f t="shared" si="3"/>
        <v>117.76861900799999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4">
      <c r="A25" s="4" t="s">
        <v>97</v>
      </c>
      <c r="C25" s="6">
        <f t="shared" ref="C25:J25" si="4">C5*(1+C6)^5</f>
        <v>512.74692306288989</v>
      </c>
      <c r="D25" s="6">
        <f t="shared" si="4"/>
        <v>137.57721555808999</v>
      </c>
      <c r="E25" s="6">
        <f t="shared" si="4"/>
        <v>115.21598159375</v>
      </c>
      <c r="F25" s="6">
        <f t="shared" si="4"/>
        <v>120.12399138815999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4">
      <c r="A26" s="4" t="s">
        <v>98</v>
      </c>
      <c r="C26" s="7">
        <v>5.0000000000000001E-3</v>
      </c>
      <c r="D26" s="7"/>
      <c r="E26" s="7">
        <v>0.02</v>
      </c>
      <c r="F26" s="7">
        <v>0.02</v>
      </c>
      <c r="G26" s="7"/>
      <c r="H26" s="7"/>
      <c r="I26" s="7"/>
      <c r="J26" s="7"/>
    </row>
    <row r="27" spans="1:10" x14ac:dyDescent="0.4">
      <c r="A27" s="4" t="s">
        <v>99</v>
      </c>
      <c r="C27" s="11">
        <f t="shared" ref="C27:J27" si="5">IF(ISBLANK(C9),C7,C7+(C9-C7)*(0)/4)</f>
        <v>0.109</v>
      </c>
      <c r="D27" s="11">
        <f t="shared" si="5"/>
        <v>0.22800000000000001</v>
      </c>
      <c r="E27" s="11">
        <f t="shared" si="5"/>
        <v>7.0999999999999994E-2</v>
      </c>
      <c r="F27" s="11">
        <f t="shared" si="5"/>
        <v>5.0999999999999997E-2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4">
      <c r="A28" s="4" t="s">
        <v>100</v>
      </c>
      <c r="C28" s="11">
        <f t="shared" ref="C28:J28" si="6">IF(ISBLANK(C9),C7,C7+(C9-C7)*(1)/4)</f>
        <v>0.11550000000000001</v>
      </c>
      <c r="D28" s="11">
        <f t="shared" si="6"/>
        <v>0.216</v>
      </c>
      <c r="E28" s="11">
        <f t="shared" si="6"/>
        <v>7.5749999999999998E-2</v>
      </c>
      <c r="F28" s="11">
        <f t="shared" si="6"/>
        <v>5.8249999999999996E-2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4">
      <c r="A29" s="4" t="s">
        <v>101</v>
      </c>
      <c r="C29" s="11">
        <f t="shared" ref="C29:J29" si="7">IF(ISBLANK(C9),C7,C7+(C9-C7)*(2)/4)</f>
        <v>0.122</v>
      </c>
      <c r="D29" s="11">
        <f t="shared" si="7"/>
        <v>0.20400000000000001</v>
      </c>
      <c r="E29" s="11">
        <f t="shared" si="7"/>
        <v>8.0499999999999988E-2</v>
      </c>
      <c r="F29" s="11">
        <f t="shared" si="7"/>
        <v>6.5500000000000003E-2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4">
      <c r="A30" s="4" t="s">
        <v>102</v>
      </c>
      <c r="C30" s="11">
        <f t="shared" ref="C30:J30" si="8">IF(ISBLANK(C9),C7,C7+(C9-C7)*(3)/4)</f>
        <v>0.1285</v>
      </c>
      <c r="D30" s="11">
        <f t="shared" si="8"/>
        <v>0.192</v>
      </c>
      <c r="E30" s="11">
        <f t="shared" si="8"/>
        <v>8.5249999999999992E-2</v>
      </c>
      <c r="F30" s="11">
        <f t="shared" si="8"/>
        <v>7.2750000000000009E-2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4">
      <c r="A31" s="4" t="s">
        <v>103</v>
      </c>
      <c r="C31" s="11">
        <f t="shared" ref="C31:J31" si="9">IF(ISBLANK(C9),C7,C7+(C9-C7)*(4)/4)</f>
        <v>0.13500000000000001</v>
      </c>
      <c r="D31" s="11">
        <f t="shared" si="9"/>
        <v>0.18</v>
      </c>
      <c r="E31" s="11">
        <f t="shared" si="9"/>
        <v>0.09</v>
      </c>
      <c r="F31" s="11">
        <f t="shared" si="9"/>
        <v>0.08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4">
      <c r="A33" s="4" t="s">
        <v>104</v>
      </c>
      <c r="C33" s="6">
        <f t="shared" ref="C33:J37" si="10">C21*C27</f>
        <v>49.657021</v>
      </c>
      <c r="D33" s="6">
        <f t="shared" si="10"/>
        <v>30.143652000000003</v>
      </c>
      <c r="E33" s="6">
        <f t="shared" si="10"/>
        <v>10.043305</v>
      </c>
      <c r="F33" s="6">
        <f t="shared" si="10"/>
        <v>5.6597759999999999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4">
      <c r="A34" s="4" t="s">
        <v>105</v>
      </c>
      <c r="C34" s="6">
        <f t="shared" si="10"/>
        <v>54.196766085</v>
      </c>
      <c r="D34" s="6">
        <f t="shared" si="10"/>
        <v>28.842715439999999</v>
      </c>
      <c r="E34" s="6">
        <f t="shared" si="10"/>
        <v>10.1794554375</v>
      </c>
      <c r="F34" s="6">
        <f t="shared" si="10"/>
        <v>6.5936390399999993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4">
      <c r="A35" s="4" t="s">
        <v>106</v>
      </c>
      <c r="C35" s="6">
        <f t="shared" si="10"/>
        <v>58.964204556200002</v>
      </c>
      <c r="D35" s="6">
        <f t="shared" si="10"/>
        <v>27.512745783600003</v>
      </c>
      <c r="E35" s="6">
        <f t="shared" si="10"/>
        <v>10.276882568749997</v>
      </c>
      <c r="F35" s="6">
        <f t="shared" si="10"/>
        <v>7.5625926911999999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4">
      <c r="A36" s="4" t="s">
        <v>107</v>
      </c>
      <c r="C36" s="6">
        <f t="shared" si="10"/>
        <v>63.968912246195501</v>
      </c>
      <c r="D36" s="6">
        <f t="shared" si="10"/>
        <v>26.153292462528</v>
      </c>
      <c r="E36" s="6">
        <f t="shared" si="10"/>
        <v>10.33911834828125</v>
      </c>
      <c r="F36" s="6">
        <f t="shared" si="10"/>
        <v>8.5676670328320004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4">
      <c r="A37" s="4" t="s">
        <v>108</v>
      </c>
      <c r="C37" s="6">
        <f t="shared" si="10"/>
        <v>69.22083461349014</v>
      </c>
      <c r="D37" s="6">
        <f t="shared" si="10"/>
        <v>24.763898800456197</v>
      </c>
      <c r="E37" s="6">
        <f t="shared" si="10"/>
        <v>10.369438343437499</v>
      </c>
      <c r="F37" s="6">
        <f t="shared" si="10"/>
        <v>9.6099193110527992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4">
      <c r="A39" s="4" t="s">
        <v>109</v>
      </c>
      <c r="C39" s="6">
        <f>C33*(1-Inputs!B22)</f>
        <v>34.759914699999996</v>
      </c>
      <c r="D39" s="6">
        <f>D33*(1-Inputs!B22)</f>
        <v>21.100556400000002</v>
      </c>
      <c r="E39" s="6">
        <f>E33*(1-Inputs!B22)</f>
        <v>7.0303134999999992</v>
      </c>
      <c r="F39" s="6">
        <f>F33*(1-Inputs!B22)</f>
        <v>3.9618431999999997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4">
      <c r="A40" s="4" t="s">
        <v>110</v>
      </c>
      <c r="C40" s="6">
        <f>C34*(1-Inputs!B22)</f>
        <v>37.937736259499999</v>
      </c>
      <c r="D40" s="6">
        <f>D34*(1-Inputs!B22)</f>
        <v>20.189900807999997</v>
      </c>
      <c r="E40" s="6">
        <f>E34*(1-Inputs!B22)</f>
        <v>7.1256188062499994</v>
      </c>
      <c r="F40" s="6">
        <f>F34*(1-Inputs!B22)</f>
        <v>4.615547327999999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4">
      <c r="A41" s="4" t="s">
        <v>111</v>
      </c>
      <c r="C41" s="6">
        <f>C35*(1-Inputs!B22)</f>
        <v>41.27494318934</v>
      </c>
      <c r="D41" s="6">
        <f>D35*(1-Inputs!B22)</f>
        <v>19.258922048520002</v>
      </c>
      <c r="E41" s="6">
        <f>E35*(1-Inputs!B22)</f>
        <v>7.1938177981249973</v>
      </c>
      <c r="F41" s="6">
        <f>F35*(1-Inputs!B22)</f>
        <v>5.2938148838399997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4">
      <c r="A42" s="4" t="s">
        <v>112</v>
      </c>
      <c r="C42" s="6">
        <f>C36*(1-Inputs!B22)</f>
        <v>44.778238572336846</v>
      </c>
      <c r="D42" s="6">
        <f>D36*(1-Inputs!B22)</f>
        <v>18.307304723769597</v>
      </c>
      <c r="E42" s="6">
        <f>E36*(1-Inputs!B22)</f>
        <v>7.2373828437968744</v>
      </c>
      <c r="F42" s="6">
        <f>F36*(1-Inputs!B22)</f>
        <v>5.9973669229824003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4">
      <c r="A43" s="4" t="s">
        <v>113</v>
      </c>
      <c r="C43" s="6">
        <f>C37*(1-Inputs!B22)</f>
        <v>48.454584229443093</v>
      </c>
      <c r="D43" s="6">
        <f>D37*(1-Inputs!B22)</f>
        <v>17.334729160319338</v>
      </c>
      <c r="E43" s="6">
        <f>E37*(1-Inputs!B22)</f>
        <v>7.2586068404062489</v>
      </c>
      <c r="F43" s="6">
        <f>F37*(1-Inputs!B22)</f>
        <v>6.7269435177369594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4">
      <c r="A45" s="4" t="s">
        <v>114</v>
      </c>
      <c r="C45" s="6">
        <f t="shared" ref="C45:J45" si="11">C21*IF(ISBLANK(C26),C12,C12+(C26-C12)*(0)/4)</f>
        <v>10.478087</v>
      </c>
      <c r="D45" s="6">
        <f t="shared" si="11"/>
        <v>0</v>
      </c>
      <c r="E45" s="6">
        <f t="shared" si="11"/>
        <v>0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4">
      <c r="A46" s="4" t="s">
        <v>115</v>
      </c>
      <c r="C46" s="6">
        <f t="shared" ref="C46:J46" si="12">C22*IF(ISBLANK(C26),C12,C12+(C26-C12)*(1)/4)</f>
        <v>8.6808672949999988</v>
      </c>
      <c r="D46" s="6">
        <f t="shared" si="12"/>
        <v>0</v>
      </c>
      <c r="E46" s="6">
        <f t="shared" si="12"/>
        <v>0.67191124999999996</v>
      </c>
      <c r="F46" s="6">
        <f t="shared" si="12"/>
        <v>0.56597759999999997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4">
      <c r="A47" s="4" t="s">
        <v>116</v>
      </c>
      <c r="C47" s="6">
        <f t="shared" ref="C47:J47" si="13">C23*IF(ISBLANK(C26),C12,C12+(C26-C12)*(2)/4)</f>
        <v>6.7663841294000004</v>
      </c>
      <c r="D47" s="6">
        <f t="shared" si="13"/>
        <v>0</v>
      </c>
      <c r="E47" s="6">
        <f t="shared" si="13"/>
        <v>1.276631375</v>
      </c>
      <c r="F47" s="6">
        <f t="shared" si="13"/>
        <v>1.154594304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4">
      <c r="A48" s="4" t="s">
        <v>117</v>
      </c>
      <c r="C48" s="6">
        <f t="shared" ref="C48:J48" si="14">C24*IF(ISBLANK(C26),C12,C12+(C26-C12)*(3)/4)</f>
        <v>4.7292191932985004</v>
      </c>
      <c r="D48" s="6">
        <f t="shared" si="14"/>
        <v>0</v>
      </c>
      <c r="E48" s="6">
        <f t="shared" si="14"/>
        <v>1.8191997093750001</v>
      </c>
      <c r="F48" s="6">
        <f t="shared" si="14"/>
        <v>1.7665292851199998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4">
      <c r="A49" s="4" t="s">
        <v>118</v>
      </c>
      <c r="C49" s="6">
        <f t="shared" ref="C49:J49" si="15">C25*IF(ISBLANK(C26),C12,C12+(C26-C12)*(4)/4)</f>
        <v>2.5637346153144498</v>
      </c>
      <c r="D49" s="6">
        <f t="shared" si="15"/>
        <v>0</v>
      </c>
      <c r="E49" s="6">
        <f t="shared" si="15"/>
        <v>2.3043196318749999</v>
      </c>
      <c r="F49" s="6">
        <f t="shared" si="15"/>
        <v>2.4024798277631998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4">
      <c r="A51" s="4" t="s">
        <v>119</v>
      </c>
      <c r="C51" s="6">
        <f t="shared" ref="C51:J55" si="16">C39-C45</f>
        <v>24.281827699999994</v>
      </c>
      <c r="D51" s="6">
        <f t="shared" si="16"/>
        <v>21.100556400000002</v>
      </c>
      <c r="E51" s="6">
        <f t="shared" si="16"/>
        <v>7.0303134999999992</v>
      </c>
      <c r="F51" s="6">
        <f t="shared" si="16"/>
        <v>3.9618431999999997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4">
      <c r="A52" s="4" t="s">
        <v>120</v>
      </c>
      <c r="C52" s="6">
        <f t="shared" si="16"/>
        <v>29.256868964500001</v>
      </c>
      <c r="D52" s="6">
        <f t="shared" si="16"/>
        <v>20.189900807999997</v>
      </c>
      <c r="E52" s="6">
        <f t="shared" si="16"/>
        <v>6.4537075562499995</v>
      </c>
      <c r="F52" s="6">
        <f t="shared" si="16"/>
        <v>4.0495697279999989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4">
      <c r="A53" s="4" t="s">
        <v>121</v>
      </c>
      <c r="C53" s="6">
        <f t="shared" si="16"/>
        <v>34.508559059939998</v>
      </c>
      <c r="D53" s="6">
        <f t="shared" si="16"/>
        <v>19.258922048520002</v>
      </c>
      <c r="E53" s="6">
        <f t="shared" si="16"/>
        <v>5.9171864231249973</v>
      </c>
      <c r="F53" s="6">
        <f t="shared" si="16"/>
        <v>4.1392205798399999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4">
      <c r="A54" s="4" t="s">
        <v>122</v>
      </c>
      <c r="C54" s="6">
        <f t="shared" si="16"/>
        <v>40.049019379038349</v>
      </c>
      <c r="D54" s="6">
        <f t="shared" si="16"/>
        <v>18.307304723769597</v>
      </c>
      <c r="E54" s="6">
        <f t="shared" si="16"/>
        <v>5.4181831344218745</v>
      </c>
      <c r="F54" s="6">
        <f t="shared" si="16"/>
        <v>4.2308376378624004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4">
      <c r="A55" s="4" t="s">
        <v>123</v>
      </c>
      <c r="C55" s="6">
        <f t="shared" si="16"/>
        <v>45.890849614128641</v>
      </c>
      <c r="D55" s="6">
        <f t="shared" si="16"/>
        <v>17.334729160319338</v>
      </c>
      <c r="E55" s="6">
        <f t="shared" si="16"/>
        <v>4.954287208531249</v>
      </c>
      <c r="F55" s="6">
        <f t="shared" si="16"/>
        <v>4.3244636899737596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4">
      <c r="A57" s="4" t="s">
        <v>124</v>
      </c>
      <c r="C57" s="6">
        <f t="shared" ref="C57:J57" si="17">C51/((1+C16))</f>
        <v>22.088272811520266</v>
      </c>
      <c r="D57" s="6">
        <f t="shared" si="17"/>
        <v>19.163988314158047</v>
      </c>
      <c r="E57" s="6">
        <f t="shared" si="17"/>
        <v>6.3952139211709307</v>
      </c>
      <c r="F57" s="6">
        <f t="shared" si="17"/>
        <v>3.6039409602624954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4">
      <c r="A58" s="4" t="s">
        <v>125</v>
      </c>
      <c r="C58" s="6">
        <f t="shared" ref="C58:J58" si="18">C52/((1+C16)*(1+C16+(C104-C16)*1/5))</f>
        <v>24.225725256110792</v>
      </c>
      <c r="D58" s="6">
        <f t="shared" si="18"/>
        <v>16.670305681959199</v>
      </c>
      <c r="E58" s="6">
        <f t="shared" si="18"/>
        <v>5.3438987723090632</v>
      </c>
      <c r="F58" s="6">
        <f t="shared" si="18"/>
        <v>3.3531873747334151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4">
      <c r="A59" s="4" t="s">
        <v>126</v>
      </c>
      <c r="C59" s="6">
        <f t="shared" ref="C59:J59" si="19">C53/((1+C16)*(1+C16+(C104-C16)*1/5)*(1+C16+(C104-C16)*2/5))</f>
        <v>26.027513835142017</v>
      </c>
      <c r="D59" s="6">
        <f t="shared" si="19"/>
        <v>14.470533970404192</v>
      </c>
      <c r="E59" s="6">
        <f t="shared" si="19"/>
        <v>4.4629406642419269</v>
      </c>
      <c r="F59" s="6">
        <f t="shared" si="19"/>
        <v>3.1219391317197895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4">
      <c r="A60" s="4" t="s">
        <v>127</v>
      </c>
      <c r="C60" s="6">
        <f t="shared" ref="C60:J60" si="20">C54/((1+C16)*(1+C16+(C104-C16)*1/5)*(1+C16+(C104-C16)*2/5)*(1+C16+(C104-C16)*3/5))</f>
        <v>27.532346208759808</v>
      </c>
      <c r="D60" s="6">
        <f t="shared" si="20"/>
        <v>12.5298660705131</v>
      </c>
      <c r="E60" s="6">
        <f t="shared" si="20"/>
        <v>3.7248176407895959</v>
      </c>
      <c r="F60" s="6">
        <f t="shared" si="20"/>
        <v>2.9085577725692664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4">
      <c r="A61" s="4" t="s">
        <v>128</v>
      </c>
      <c r="C61" s="6">
        <f t="shared" ref="C61:J61" si="21">C55/((1+C16)*(1+C16+(C104-C16)*1/5)*(1+C16+(C104-C16)*2/5)*(1+C16+(C104-C16)*3/5)*(1+C16+(C104-C16)*4/5))</f>
        <v>28.774756351780461</v>
      </c>
      <c r="D61" s="6">
        <f t="shared" si="21"/>
        <v>10.817705841845394</v>
      </c>
      <c r="E61" s="6">
        <f t="shared" si="21"/>
        <v>3.1064669432125545</v>
      </c>
      <c r="F61" s="6">
        <f t="shared" si="21"/>
        <v>2.7115512150554273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4">
      <c r="A62" s="3" t="s">
        <v>129</v>
      </c>
    </row>
    <row r="63" spans="1:10" x14ac:dyDescent="0.4">
      <c r="A63" s="4" t="s">
        <v>130</v>
      </c>
      <c r="C63" s="6">
        <f t="shared" ref="C63:J63" si="22">C25*(1+(C6+(C13-C6)*1/5))</f>
        <v>527.61658383171368</v>
      </c>
      <c r="D63" s="6">
        <f t="shared" si="22"/>
        <v>138.95298771367089</v>
      </c>
      <c r="E63" s="6">
        <f t="shared" si="22"/>
        <v>111.06820625637499</v>
      </c>
      <c r="F63" s="6">
        <f t="shared" si="22"/>
        <v>122.52647121592319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4">
      <c r="A64" s="4" t="s">
        <v>131</v>
      </c>
      <c r="C64" s="6">
        <f t="shared" ref="C64:J64" si="23">C63*(1+(C6+(C13-C6)*2/5))</f>
        <v>542.38984817900166</v>
      </c>
      <c r="D64" s="6">
        <f t="shared" si="23"/>
        <v>140.3425175908076</v>
      </c>
      <c r="E64" s="6">
        <f t="shared" si="23"/>
        <v>108.62470571873475</v>
      </c>
      <c r="F64" s="6">
        <f t="shared" si="23"/>
        <v>124.97700064024166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4">
      <c r="A65" s="4" t="s">
        <v>132</v>
      </c>
      <c r="C65" s="6">
        <f t="shared" ref="C65:J65" si="24">C64*(1+(C6+(C13-C6)*3/5))</f>
        <v>557.03437407983461</v>
      </c>
      <c r="D65" s="6">
        <f t="shared" si="24"/>
        <v>141.74594276671567</v>
      </c>
      <c r="E65" s="6">
        <f t="shared" si="24"/>
        <v>107.75570807298486</v>
      </c>
      <c r="F65" s="6">
        <f t="shared" si="24"/>
        <v>127.47654065304648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4">
      <c r="A66" s="4" t="s">
        <v>133</v>
      </c>
      <c r="C66" s="6">
        <f t="shared" ref="C66:J66" si="25">C65*(1+(C6+(C13-C6)*4/5))</f>
        <v>571.51726780591036</v>
      </c>
      <c r="D66" s="6">
        <f t="shared" si="25"/>
        <v>143.16340219438283</v>
      </c>
      <c r="E66" s="6">
        <f t="shared" si="25"/>
        <v>108.40224232142278</v>
      </c>
      <c r="F66" s="6">
        <f t="shared" si="25"/>
        <v>130.02607146610742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4">
      <c r="A67" s="4" t="s">
        <v>134</v>
      </c>
      <c r="C67" s="6">
        <f t="shared" ref="C67:J67" si="26">C66*(1+(C6+(C13-C6)*5/5))</f>
        <v>585.80519950105804</v>
      </c>
      <c r="D67" s="6">
        <f t="shared" si="26"/>
        <v>144.59503621632666</v>
      </c>
      <c r="E67" s="6">
        <f t="shared" si="26"/>
        <v>110.57028716785123</v>
      </c>
      <c r="F67" s="6">
        <f t="shared" si="26"/>
        <v>132.62659289542958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4">
      <c r="A69" s="4" t="s">
        <v>135</v>
      </c>
      <c r="C69" s="11">
        <f t="shared" ref="C69:J69" si="27">IF(ISBLANK(C9),C7,C9)</f>
        <v>0.13500000000000001</v>
      </c>
      <c r="D69" s="11">
        <f t="shared" si="27"/>
        <v>0.18</v>
      </c>
      <c r="E69" s="11">
        <f t="shared" si="27"/>
        <v>0.09</v>
      </c>
      <c r="F69" s="11">
        <f t="shared" si="27"/>
        <v>0.08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4">
      <c r="A70" s="4" t="s">
        <v>136</v>
      </c>
      <c r="C70" s="11">
        <f t="shared" ref="C70:J70" si="28">IF(ISBLANK(C9),C7,C9)</f>
        <v>0.13500000000000001</v>
      </c>
      <c r="D70" s="11">
        <f t="shared" si="28"/>
        <v>0.18</v>
      </c>
      <c r="E70" s="11">
        <f t="shared" si="28"/>
        <v>0.09</v>
      </c>
      <c r="F70" s="11">
        <f t="shared" si="28"/>
        <v>0.08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4">
      <c r="A71" s="4" t="s">
        <v>137</v>
      </c>
      <c r="C71" s="11">
        <f t="shared" ref="C71:J71" si="29">IF(ISBLANK(C9),C7,C9)</f>
        <v>0.13500000000000001</v>
      </c>
      <c r="D71" s="11">
        <f t="shared" si="29"/>
        <v>0.18</v>
      </c>
      <c r="E71" s="11">
        <f t="shared" si="29"/>
        <v>0.09</v>
      </c>
      <c r="F71" s="11">
        <f t="shared" si="29"/>
        <v>0.08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4">
      <c r="A72" s="4" t="s">
        <v>138</v>
      </c>
      <c r="C72" s="11">
        <f t="shared" ref="C72:J72" si="30">IF(ISBLANK(C9),C7,C9)</f>
        <v>0.13500000000000001</v>
      </c>
      <c r="D72" s="11">
        <f t="shared" si="30"/>
        <v>0.18</v>
      </c>
      <c r="E72" s="11">
        <f t="shared" si="30"/>
        <v>0.09</v>
      </c>
      <c r="F72" s="11">
        <f t="shared" si="30"/>
        <v>0.08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4">
      <c r="A73" s="4" t="s">
        <v>139</v>
      </c>
      <c r="C73" s="11">
        <f t="shared" ref="C73:J73" si="31">IF(ISBLANK(C9),C7,C9)</f>
        <v>0.13500000000000001</v>
      </c>
      <c r="D73" s="11">
        <f t="shared" si="31"/>
        <v>0.18</v>
      </c>
      <c r="E73" s="11">
        <f t="shared" si="31"/>
        <v>0.09</v>
      </c>
      <c r="F73" s="11">
        <f t="shared" si="31"/>
        <v>0.08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4">
      <c r="A75" s="4" t="s">
        <v>140</v>
      </c>
      <c r="C75" s="6">
        <f t="shared" ref="C75:J79" si="32">C63*C69</f>
        <v>71.228238817281351</v>
      </c>
      <c r="D75" s="6">
        <f t="shared" si="32"/>
        <v>25.01153778846076</v>
      </c>
      <c r="E75" s="6">
        <f t="shared" si="32"/>
        <v>9.9961385630737496</v>
      </c>
      <c r="F75" s="6">
        <f t="shared" si="32"/>
        <v>9.8021176972738555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4">
      <c r="A76" s="4" t="s">
        <v>141</v>
      </c>
      <c r="C76" s="6">
        <f t="shared" si="32"/>
        <v>73.222629504165226</v>
      </c>
      <c r="D76" s="6">
        <f t="shared" si="32"/>
        <v>25.261653166345369</v>
      </c>
      <c r="E76" s="6">
        <f t="shared" si="32"/>
        <v>9.7762235146861265</v>
      </c>
      <c r="F76" s="6">
        <f t="shared" si="32"/>
        <v>9.9981600512193332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4">
      <c r="A77" s="4" t="s">
        <v>142</v>
      </c>
      <c r="C77" s="6">
        <f t="shared" si="32"/>
        <v>75.199640500777676</v>
      </c>
      <c r="D77" s="6">
        <f t="shared" si="32"/>
        <v>25.514269698008821</v>
      </c>
      <c r="E77" s="6">
        <f t="shared" si="32"/>
        <v>9.6980137265686377</v>
      </c>
      <c r="F77" s="6">
        <f t="shared" si="32"/>
        <v>10.198123252243718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4">
      <c r="A78" s="4" t="s">
        <v>143</v>
      </c>
      <c r="C78" s="6">
        <f t="shared" si="32"/>
        <v>77.1548311537979</v>
      </c>
      <c r="D78" s="6">
        <f t="shared" si="32"/>
        <v>25.769412394988908</v>
      </c>
      <c r="E78" s="6">
        <f t="shared" si="32"/>
        <v>9.7562018089280489</v>
      </c>
      <c r="F78" s="6">
        <f t="shared" si="32"/>
        <v>10.402085717288594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4">
      <c r="A79" s="4" t="s">
        <v>144</v>
      </c>
      <c r="C79" s="6">
        <f t="shared" si="32"/>
        <v>79.083701932642839</v>
      </c>
      <c r="D79" s="6">
        <f t="shared" si="32"/>
        <v>26.027106518938798</v>
      </c>
      <c r="E79" s="6">
        <f t="shared" si="32"/>
        <v>9.9513258451066111</v>
      </c>
      <c r="F79" s="6">
        <f t="shared" si="32"/>
        <v>10.610127431634366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4">
      <c r="A81" s="4" t="s">
        <v>145</v>
      </c>
      <c r="C81" s="6">
        <f>C75*(1-Inputs!B22)</f>
        <v>49.859767172096944</v>
      </c>
      <c r="D81" s="6">
        <f>D75*(1-Inputs!B22)</f>
        <v>17.50807645192253</v>
      </c>
      <c r="E81" s="6">
        <f>E75*(1-Inputs!B22)</f>
        <v>6.9972969941516245</v>
      </c>
      <c r="F81" s="6">
        <f>F75*(1-Inputs!B22)</f>
        <v>6.8614823880916989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4">
      <c r="A82" s="4" t="s">
        <v>146</v>
      </c>
      <c r="C82" s="6">
        <f>C76*(1-Inputs!B22)</f>
        <v>51.255840652915658</v>
      </c>
      <c r="D82" s="6">
        <f>D76*(1-Inputs!B22)</f>
        <v>17.683157216441757</v>
      </c>
      <c r="E82" s="6">
        <f>E76*(1-Inputs!B22)</f>
        <v>6.8433564602802885</v>
      </c>
      <c r="F82" s="6">
        <f>F76*(1-Inputs!B22)</f>
        <v>6.9987120358535329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4">
      <c r="A83" s="4" t="s">
        <v>147</v>
      </c>
      <c r="C83" s="6">
        <f>C77*(1-Inputs!B22)</f>
        <v>52.639748350544373</v>
      </c>
      <c r="D83" s="6">
        <f>D77*(1-Inputs!B22)</f>
        <v>17.859988788606174</v>
      </c>
      <c r="E83" s="6">
        <f>E77*(1-Inputs!B22)</f>
        <v>6.7886096085980459</v>
      </c>
      <c r="F83" s="6">
        <f>F77*(1-Inputs!B22)</f>
        <v>7.1386862765706018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4">
      <c r="A84" s="4" t="s">
        <v>148</v>
      </c>
      <c r="C84" s="6">
        <f>C78*(1-Inputs!B22)</f>
        <v>54.00838180765853</v>
      </c>
      <c r="D84" s="6">
        <f>D78*(1-Inputs!B22)</f>
        <v>18.038588676492235</v>
      </c>
      <c r="E84" s="6">
        <f>E78*(1-Inputs!B22)</f>
        <v>6.8293412662496342</v>
      </c>
      <c r="F84" s="6">
        <f>F78*(1-Inputs!B22)</f>
        <v>7.2814600021020155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4">
      <c r="A85" s="4" t="s">
        <v>149</v>
      </c>
      <c r="C85" s="6">
        <f>C79*(1-Inputs!B22)</f>
        <v>55.358591352849984</v>
      </c>
      <c r="D85" s="6">
        <f>D79*(1-Inputs!B22)</f>
        <v>18.218974563257156</v>
      </c>
      <c r="E85" s="6">
        <f>E79*(1-Inputs!B22)</f>
        <v>6.9659280915746278</v>
      </c>
      <c r="F85" s="6">
        <f>F79*(1-Inputs!B22)</f>
        <v>7.4270892021440558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4">
      <c r="A87" s="4" t="s">
        <v>150</v>
      </c>
      <c r="C87" s="6">
        <f t="shared" ref="C87:J87" si="33">C63*MAX(IF(ISBLANK(C26),C12,C26),0)</f>
        <v>2.6380829191585686</v>
      </c>
      <c r="D87" s="6">
        <f t="shared" si="33"/>
        <v>0</v>
      </c>
      <c r="E87" s="6">
        <f t="shared" si="33"/>
        <v>2.2213641251274998</v>
      </c>
      <c r="F87" s="6">
        <f t="shared" si="33"/>
        <v>2.4505294243184639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4">
      <c r="A88" s="4" t="s">
        <v>151</v>
      </c>
      <c r="C88" s="6">
        <f t="shared" ref="C88:J88" si="34">C64*MAX(IF(ISBLANK(C26),C12,C26),0)</f>
        <v>2.7119492408950086</v>
      </c>
      <c r="D88" s="6">
        <f t="shared" si="34"/>
        <v>0</v>
      </c>
      <c r="E88" s="6">
        <f t="shared" si="34"/>
        <v>2.172494114374695</v>
      </c>
      <c r="F88" s="6">
        <f t="shared" si="34"/>
        <v>2.4995400128048333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4">
      <c r="A89" s="4" t="s">
        <v>152</v>
      </c>
      <c r="C89" s="6">
        <f t="shared" ref="C89:J89" si="35">C65*MAX(IF(ISBLANK(C26),C12,C26),0)</f>
        <v>2.7851718703991732</v>
      </c>
      <c r="D89" s="6">
        <f t="shared" si="35"/>
        <v>0</v>
      </c>
      <c r="E89" s="6">
        <f t="shared" si="35"/>
        <v>2.1551141614596974</v>
      </c>
      <c r="F89" s="6">
        <f t="shared" si="35"/>
        <v>2.5495308130609295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4">
      <c r="A90" s="4" t="s">
        <v>153</v>
      </c>
      <c r="C90" s="6">
        <f t="shared" ref="C90:J90" si="36">C66*MAX(IF(ISBLANK(C26),C12,C26),0)</f>
        <v>2.8575863390295519</v>
      </c>
      <c r="D90" s="6">
        <f t="shared" si="36"/>
        <v>0</v>
      </c>
      <c r="E90" s="6">
        <f t="shared" si="36"/>
        <v>2.1680448464284554</v>
      </c>
      <c r="F90" s="6">
        <f t="shared" si="36"/>
        <v>2.6005214293221486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4">
      <c r="A91" s="4" t="s">
        <v>154</v>
      </c>
      <c r="C91" s="6">
        <f t="shared" ref="C91:J91" si="37">C67*MAX(IF(ISBLANK(C26),C12,C26),0)</f>
        <v>2.9290259975052901</v>
      </c>
      <c r="D91" s="6">
        <f t="shared" si="37"/>
        <v>0</v>
      </c>
      <c r="E91" s="6">
        <f t="shared" si="37"/>
        <v>2.2114057433570249</v>
      </c>
      <c r="F91" s="6">
        <f t="shared" si="37"/>
        <v>2.6525318579085915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4">
      <c r="A93" s="4" t="s">
        <v>155</v>
      </c>
      <c r="C93" s="6">
        <f t="shared" ref="C93:J97" si="38">C81-C87</f>
        <v>47.221684252938374</v>
      </c>
      <c r="D93" s="6">
        <f t="shared" si="38"/>
        <v>17.50807645192253</v>
      </c>
      <c r="E93" s="6">
        <f t="shared" si="38"/>
        <v>4.7759328690241247</v>
      </c>
      <c r="F93" s="6">
        <f t="shared" si="38"/>
        <v>4.4109529637732354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4">
      <c r="A94" s="4" t="s">
        <v>156</v>
      </c>
      <c r="C94" s="6">
        <f t="shared" si="38"/>
        <v>48.543891412020649</v>
      </c>
      <c r="D94" s="6">
        <f t="shared" si="38"/>
        <v>17.683157216441757</v>
      </c>
      <c r="E94" s="6">
        <f t="shared" si="38"/>
        <v>4.6708623459055936</v>
      </c>
      <c r="F94" s="6">
        <f t="shared" si="38"/>
        <v>4.4991720230486996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4">
      <c r="A95" s="4" t="s">
        <v>157</v>
      </c>
      <c r="C95" s="6">
        <f t="shared" si="38"/>
        <v>49.854576480145198</v>
      </c>
      <c r="D95" s="6">
        <f t="shared" si="38"/>
        <v>17.859988788606174</v>
      </c>
      <c r="E95" s="6">
        <f t="shared" si="38"/>
        <v>4.6334954471383485</v>
      </c>
      <c r="F95" s="6">
        <f t="shared" si="38"/>
        <v>4.5891554635096723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4">
      <c r="A96" s="4" t="s">
        <v>158</v>
      </c>
      <c r="C96" s="6">
        <f t="shared" si="38"/>
        <v>51.150795468628978</v>
      </c>
      <c r="D96" s="6">
        <f t="shared" si="38"/>
        <v>18.038588676492235</v>
      </c>
      <c r="E96" s="6">
        <f t="shared" si="38"/>
        <v>4.6612964198211788</v>
      </c>
      <c r="F96" s="6">
        <f t="shared" si="38"/>
        <v>4.6809385727798674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4">
      <c r="A97" s="4" t="s">
        <v>159</v>
      </c>
      <c r="C97" s="6">
        <f t="shared" si="38"/>
        <v>52.429565355344693</v>
      </c>
      <c r="D97" s="6">
        <f t="shared" si="38"/>
        <v>18.218974563257156</v>
      </c>
      <c r="E97" s="6">
        <f t="shared" si="38"/>
        <v>4.7545223482176029</v>
      </c>
      <c r="F97" s="6">
        <f t="shared" si="38"/>
        <v>4.7745573442354647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4">
      <c r="A99" s="4" t="s">
        <v>160</v>
      </c>
      <c r="C99" s="6">
        <f t="shared" ref="C99:J99" si="39">C93/(((1+C16)*(1+C16+(C104-C16)*1/5)*(1+C16+(C104-C16)*2/5)*(1+C16+(C104-C16)*3/5)*(1+C16+(C104-C16)*4/5))*(1+C104)^1)</f>
        <v>27.024034703087739</v>
      </c>
      <c r="D99" s="6">
        <f t="shared" si="39"/>
        <v>9.9719410345508042</v>
      </c>
      <c r="E99" s="6">
        <f t="shared" si="39"/>
        <v>2.7331717966856348</v>
      </c>
      <c r="F99" s="6">
        <f t="shared" si="39"/>
        <v>2.5243010251011597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4">
      <c r="A100" s="4" t="s">
        <v>161</v>
      </c>
      <c r="C100" s="6">
        <f t="shared" ref="C100:J100" si="40">C94/(((1+C16)*(1+C16+(C104-C16)*1/5)*(1+C16+(C104-C16)*2/5)*(1+C16+(C104-C16)*3/5)*(1+C16+(C104-C16)*4/5))*(1+C104)^2)</f>
        <v>25.355166384242629</v>
      </c>
      <c r="D100" s="6">
        <f t="shared" si="40"/>
        <v>9.1923009786328915</v>
      </c>
      <c r="E100" s="6">
        <f t="shared" si="40"/>
        <v>2.4396579774196656</v>
      </c>
      <c r="F100" s="6">
        <f t="shared" si="40"/>
        <v>2.3499816746763935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4">
      <c r="A101" s="4" t="s">
        <v>162</v>
      </c>
      <c r="C101" s="6">
        <f t="shared" ref="C101:J101" si="41">C95/(((1+C16)*(1+C16+(C104-C16)*1/5)*(1+C16+(C104-C16)*2/5)*(1+C16+(C104-C16)*3/5)*(1+C16+(C104-C16)*4/5))*(1+C104)^3)</f>
        <v>23.766217570339656</v>
      </c>
      <c r="D101" s="6">
        <f t="shared" si="41"/>
        <v>8.4736158175228855</v>
      </c>
      <c r="E101" s="6">
        <f t="shared" si="41"/>
        <v>2.2088375568033207</v>
      </c>
      <c r="F101" s="6">
        <f t="shared" si="41"/>
        <v>2.1877002054830443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4">
      <c r="A102" s="4" t="s">
        <v>163</v>
      </c>
      <c r="C102" s="6">
        <f t="shared" ref="C102:J102" si="42">C96/(((1+C16)*(1+C16+(C104-C16)*1/5)*(1+C16+(C104-C16)*2/5)*(1+C16+(C104-C16)*3/5)*(1+C16+(C104-C16)*4/5))*(1+C104)^4)</f>
        <v>22.2551532696483</v>
      </c>
      <c r="D102" s="6">
        <f t="shared" si="42"/>
        <v>7.8111198915130275</v>
      </c>
      <c r="E102" s="6">
        <f t="shared" si="42"/>
        <v>2.0280792372428724</v>
      </c>
      <c r="F102" s="6">
        <f t="shared" si="42"/>
        <v>2.0366253237824177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4">
      <c r="A103" s="4" t="s">
        <v>164</v>
      </c>
      <c r="C103" s="6">
        <f t="shared" ref="C103:J103" si="43">C97/(((1+C16)*(1+C16+(C104-C16)*1/5)*(1+C16+(C104-C16)*2/5)*(1+C16+(C104-C16)*3/5)*(1+C16+(C104-C16)*4/5))*(1+C104)^5)</f>
        <v>20.819850908096925</v>
      </c>
      <c r="D103" s="6">
        <f t="shared" si="43"/>
        <v>7.2004201362797611</v>
      </c>
      <c r="E103" s="6">
        <f t="shared" si="43"/>
        <v>1.888027218196545</v>
      </c>
      <c r="F103" s="6">
        <f t="shared" si="43"/>
        <v>1.8959831420576165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4">
      <c r="A104" s="4" t="s">
        <v>165</v>
      </c>
      <c r="C104" s="11">
        <f>MAX((Inputs!B18+((1+(1-Inputs!B22)*(Inputs!B36/(1-Inputs!B36)))/(1+(1-Inputs!B22)*0.25))*Inputs!B19+IF(ISBLANK(C17),Inputs!B24,C17)+Inputs!B25+Inputs!B39)*(1-Inputs!B36)+Inputs!B38*Inputs!B36,C15)</f>
        <v>9.5662605946808518E-2</v>
      </c>
      <c r="D104" s="11">
        <f>MAX((Inputs!B18+((1+(1-Inputs!B22)*(Inputs!B36/(1-Inputs!B36)))/(1+(1-Inputs!B22)*0.25))*Inputs!B19+IF(ISBLANK(D17),Inputs!B24,D17)+Inputs!B25+Inputs!B39)*(1-Inputs!B36)+Inputs!B38*Inputs!B36,D15)</f>
        <v>9.5662605946808518E-2</v>
      </c>
      <c r="E104" s="11">
        <f>MAX((Inputs!B18+((1+(1-Inputs!B22)*(Inputs!B36/(1-Inputs!B36)))/(1+(1-Inputs!B22)*0.25))*Inputs!B19+IF(ISBLANK(E17),Inputs!B24,E17)+Inputs!B25+Inputs!B39)*(1-Inputs!B36)+Inputs!B38*Inputs!B36,E15)</f>
        <v>9.5662605946808518E-2</v>
      </c>
      <c r="F104" s="11">
        <f>MAX((Inputs!B18+((1+(1-Inputs!B22)*(Inputs!B36/(1-Inputs!B36)))/(1+(1-Inputs!B22)*0.25))*Inputs!B19+IF(ISBLANK(F17),Inputs!B24,F17)+Inputs!B25+Inputs!B39)*(1-Inputs!B36)+Inputs!B38*Inputs!B36,F15)</f>
        <v>9.5662605946808518E-2</v>
      </c>
      <c r="G104" s="11">
        <f>MAX((Inputs!B18+((1+(1-Inputs!B22)*(Inputs!B36/(1-Inputs!B36)))/(1+(1-Inputs!B22)*0.25))*Inputs!B19+IF(ISBLANK(G17),Inputs!B24,G17)+Inputs!B25+Inputs!B39)*(1-Inputs!B36)+Inputs!B38*Inputs!B36,G15)</f>
        <v>9.5662605946808518E-2</v>
      </c>
      <c r="H104" s="11">
        <f>MAX((Inputs!B18+((1+(1-Inputs!B22)*(Inputs!B36/(1-Inputs!B36)))/(1+(1-Inputs!B22)*0.25))*Inputs!B19+IF(ISBLANK(H17),Inputs!B24,H17)+Inputs!B25+Inputs!B39)*(1-Inputs!B36)+Inputs!B38*Inputs!B36,H15)</f>
        <v>9.5662605946808518E-2</v>
      </c>
      <c r="I104" s="11">
        <f>MAX((Inputs!B18+((1+(1-Inputs!B22)*(Inputs!B36/(1-Inputs!B36)))/(1+(1-Inputs!B22)*0.25))*Inputs!B19+IF(ISBLANK(I17),Inputs!B24,I17)+Inputs!B25+Inputs!B39)*(1-Inputs!B36)+Inputs!B38*Inputs!B36,I15)</f>
        <v>9.5662605946808518E-2</v>
      </c>
      <c r="J104" s="11">
        <f>MAX((Inputs!B18+((1+(1-Inputs!B22)*(Inputs!B36/(1-Inputs!B36)))/(1+(1-Inputs!B22)*0.25))*Inputs!B19+IF(ISBLANK(J17),Inputs!B24,J17)+Inputs!B25+Inputs!B39)*(1-Inputs!B36)+Inputs!B38*Inputs!B36,J15)</f>
        <v>9.5662605946808518E-2</v>
      </c>
    </row>
    <row r="105" spans="1:11" x14ac:dyDescent="0.4">
      <c r="A105" s="4" t="s">
        <v>166</v>
      </c>
      <c r="C105" s="6">
        <f t="shared" ref="C105:J105" si="44">SUM(C57:C61,C99:C103)</f>
        <v>247.86903729872861</v>
      </c>
      <c r="D105" s="6">
        <f t="shared" si="44"/>
        <v>116.3017977373793</v>
      </c>
      <c r="E105" s="6">
        <f t="shared" si="44"/>
        <v>34.331111728072116</v>
      </c>
      <c r="F105" s="6">
        <f t="shared" si="44"/>
        <v>26.693767825441025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4">
      <c r="A106" s="4" t="s">
        <v>167</v>
      </c>
      <c r="C106" s="6">
        <f t="shared" ref="C106:J106" si="45">IF(C5=0,0,C97*(1+C13)/(C104-C13))</f>
        <v>760.51970867988484</v>
      </c>
      <c r="D106" s="6">
        <f t="shared" si="45"/>
        <v>214.80976565569082</v>
      </c>
      <c r="E106" s="6">
        <f t="shared" si="45"/>
        <v>64.095238784020694</v>
      </c>
      <c r="F106" s="6">
        <f t="shared" si="45"/>
        <v>64.365328555348228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4">
      <c r="A107" s="4" t="s">
        <v>168</v>
      </c>
      <c r="C107" s="6">
        <f t="shared" ref="C107:J107" si="46">C106/(((1+C16)*(1+C16+(C104-C16)*1/5)*(1+C16+(C104-C16)*2/5)*(1+C16+(C104-C16)*3/5)*(1+C16+(C104-C16)*4/5))*(1+C104)^5)</f>
        <v>302.00339903772243</v>
      </c>
      <c r="D107" s="6">
        <f t="shared" si="46"/>
        <v>84.896137086447141</v>
      </c>
      <c r="E107" s="6">
        <f t="shared" si="46"/>
        <v>25.452305514223525</v>
      </c>
      <c r="F107" s="6">
        <f t="shared" si="46"/>
        <v>25.559558525625192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4">
      <c r="A109" s="19" t="s">
        <v>169</v>
      </c>
      <c r="C109" s="20">
        <f t="shared" ref="C109:J109" si="47">C105+C107</f>
        <v>549.87243633645107</v>
      </c>
      <c r="D109" s="20">
        <f t="shared" si="47"/>
        <v>201.19793482382644</v>
      </c>
      <c r="E109" s="20">
        <f t="shared" si="47"/>
        <v>59.783417242295641</v>
      </c>
      <c r="F109" s="20">
        <f t="shared" si="47"/>
        <v>52.253326351066221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863.10711475363939</v>
      </c>
    </row>
    <row r="110" spans="1:11" x14ac:dyDescent="0.4">
      <c r="A110" s="4" t="s">
        <v>170</v>
      </c>
      <c r="K110" s="11">
        <f>IFERROR(SUMPRODUCT(C109:J109,C16:J16)/SUM(C109:J109),0)</f>
        <v>9.9715088849952921E-2</v>
      </c>
    </row>
    <row r="111" spans="1:11" x14ac:dyDescent="0.4">
      <c r="A111" s="4" t="s">
        <v>171</v>
      </c>
      <c r="K111" s="5">
        <v>98.9</v>
      </c>
    </row>
    <row r="112" spans="1:11" x14ac:dyDescent="0.4">
      <c r="A112" s="4" t="s">
        <v>172</v>
      </c>
      <c r="K112" s="5">
        <v>5</v>
      </c>
    </row>
    <row r="113" spans="1:11" x14ac:dyDescent="0.4">
      <c r="A113" s="4" t="s">
        <v>173</v>
      </c>
      <c r="K113" s="5">
        <v>-109.538296612876</v>
      </c>
    </row>
    <row r="114" spans="1:11" x14ac:dyDescent="0.4">
      <c r="A114" s="4" t="s">
        <v>174</v>
      </c>
      <c r="K114" s="5">
        <v>0</v>
      </c>
    </row>
    <row r="115" spans="1:11" x14ac:dyDescent="0.4">
      <c r="A115" s="4" t="s">
        <v>175</v>
      </c>
      <c r="K115" s="5">
        <v>0</v>
      </c>
    </row>
    <row r="116" spans="1:11" x14ac:dyDescent="0.4">
      <c r="A116" s="4" t="s">
        <v>176</v>
      </c>
      <c r="K116" s="5">
        <v>-4.5</v>
      </c>
    </row>
    <row r="117" spans="1:11" x14ac:dyDescent="0.4">
      <c r="A117" s="4" t="s">
        <v>177</v>
      </c>
      <c r="K117" s="5">
        <v>0</v>
      </c>
    </row>
    <row r="118" spans="1:11" x14ac:dyDescent="0.4">
      <c r="A118" s="4" t="s">
        <v>178</v>
      </c>
      <c r="K118" s="5">
        <v>0</v>
      </c>
    </row>
    <row r="119" spans="1:11" x14ac:dyDescent="0.4">
      <c r="A119" s="4" t="s">
        <v>179</v>
      </c>
      <c r="K119" s="20">
        <f>K109+K113+K114+K115+K116+K117+K118-K111-K112</f>
        <v>645.16881814076339</v>
      </c>
    </row>
    <row r="120" spans="1:11" x14ac:dyDescent="0.4">
      <c r="A120" s="4" t="s">
        <v>180</v>
      </c>
      <c r="K120" s="6">
        <f>Inputs!B11</f>
        <v>122.3</v>
      </c>
    </row>
    <row r="122" spans="1:11" ht="15.9" customHeight="1" x14ac:dyDescent="0.45">
      <c r="A122" s="4" t="s">
        <v>181</v>
      </c>
      <c r="K122" s="21">
        <f>K119/K120</f>
        <v>5.2752969594502321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2"/>
  <sheetViews>
    <sheetView workbookViewId="0"/>
  </sheetViews>
  <sheetFormatPr baseColWidth="10" defaultColWidth="9.23046875" defaultRowHeight="14.6" x14ac:dyDescent="0.4"/>
  <cols>
    <col min="1" max="1" width="30" customWidth="1"/>
    <col min="2" max="2" width="4" customWidth="1"/>
    <col min="3" max="11" width="14" customWidth="1"/>
  </cols>
  <sheetData>
    <row r="1" spans="1:11" ht="18.45" customHeight="1" x14ac:dyDescent="0.5">
      <c r="A1" s="1" t="s">
        <v>182</v>
      </c>
    </row>
    <row r="2" spans="1:11" x14ac:dyDescent="0.4">
      <c r="A2" s="2" t="s">
        <v>54</v>
      </c>
    </row>
    <row r="3" spans="1:11" x14ac:dyDescent="0.4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4">
      <c r="A4" s="4" t="s">
        <v>64</v>
      </c>
      <c r="C4" s="14" t="s">
        <v>55</v>
      </c>
      <c r="D4" s="14" t="s">
        <v>56</v>
      </c>
      <c r="E4" s="14" t="s">
        <v>57</v>
      </c>
      <c r="F4" s="14" t="s">
        <v>58</v>
      </c>
      <c r="G4" s="14"/>
      <c r="H4" s="14"/>
      <c r="I4" s="14"/>
      <c r="J4" s="14"/>
    </row>
    <row r="5" spans="1:11" x14ac:dyDescent="0.4">
      <c r="A5" s="4" t="s">
        <v>65</v>
      </c>
      <c r="C5" s="5">
        <v>442.3</v>
      </c>
      <c r="D5" s="5">
        <v>130.9</v>
      </c>
      <c r="E5" s="5">
        <v>148.9</v>
      </c>
      <c r="F5" s="5">
        <v>108.8</v>
      </c>
      <c r="G5" s="5"/>
      <c r="H5" s="5"/>
      <c r="I5" s="5"/>
      <c r="J5" s="5"/>
    </row>
    <row r="6" spans="1:11" x14ac:dyDescent="0.4">
      <c r="A6" s="4" t="s">
        <v>66</v>
      </c>
      <c r="C6" s="7">
        <v>7.0000000000000007E-2</v>
      </c>
      <c r="D6" s="7">
        <v>2.465257156736923E-2</v>
      </c>
      <c r="E6" s="7">
        <v>-3.5347428432630779E-2</v>
      </c>
      <c r="F6" s="7">
        <v>3.4652571567369228E-2</v>
      </c>
      <c r="G6" s="7"/>
      <c r="H6" s="7"/>
      <c r="I6" s="7"/>
      <c r="J6" s="7"/>
    </row>
    <row r="7" spans="1:11" x14ac:dyDescent="0.4">
      <c r="A7" s="4" t="s">
        <v>67</v>
      </c>
      <c r="C7" s="7">
        <v>0.1341186941154901</v>
      </c>
      <c r="D7" s="7">
        <v>0.25311869411549009</v>
      </c>
      <c r="E7" s="7">
        <v>9.6118694115490094E-2</v>
      </c>
      <c r="F7" s="7">
        <v>7.6118694115490104E-2</v>
      </c>
      <c r="G7" s="7"/>
      <c r="H7" s="7"/>
      <c r="I7" s="7"/>
      <c r="J7" s="7"/>
    </row>
    <row r="8" spans="1:11" x14ac:dyDescent="0.4">
      <c r="A8" s="4" t="s">
        <v>68</v>
      </c>
      <c r="C8" s="15">
        <v>7.9000000000000001E-2</v>
      </c>
      <c r="D8" s="15">
        <v>0.22800000000000001</v>
      </c>
      <c r="E8" s="15">
        <v>-0.33200000000000002</v>
      </c>
      <c r="F8" s="15">
        <v>-8.3000000000000004E-2</v>
      </c>
      <c r="G8" s="15"/>
      <c r="H8" s="15"/>
      <c r="I8" s="15"/>
      <c r="J8" s="15"/>
    </row>
    <row r="9" spans="1:11" x14ac:dyDescent="0.4">
      <c r="A9" s="4" t="s">
        <v>69</v>
      </c>
      <c r="C9" s="7">
        <v>0.16</v>
      </c>
      <c r="D9" s="7">
        <v>0.20511869411549011</v>
      </c>
      <c r="E9" s="7">
        <v>0.11</v>
      </c>
      <c r="F9" s="7">
        <v>0.1051186941154901</v>
      </c>
      <c r="G9" s="7"/>
      <c r="H9" s="7"/>
      <c r="I9" s="7"/>
      <c r="J9" s="7"/>
    </row>
    <row r="10" spans="1:11" x14ac:dyDescent="0.4">
      <c r="A10" s="4" t="s">
        <v>70</v>
      </c>
      <c r="C10" s="7">
        <v>9.8000000000000004E-2</v>
      </c>
      <c r="D10" s="7">
        <v>8.9999999999999993E-3</v>
      </c>
      <c r="E10" s="7">
        <v>3.0000000000000001E-3</v>
      </c>
      <c r="F10" s="7">
        <v>5.1999999999999998E-2</v>
      </c>
      <c r="G10" s="7"/>
      <c r="H10" s="7"/>
      <c r="I10" s="7"/>
      <c r="J10" s="7"/>
    </row>
    <row r="11" spans="1:11" x14ac:dyDescent="0.4">
      <c r="A11" s="4" t="s">
        <v>71</v>
      </c>
      <c r="C11" s="7">
        <v>7.4999999999999997E-2</v>
      </c>
      <c r="D11" s="7">
        <v>1.4E-2</v>
      </c>
      <c r="E11" s="7">
        <v>2.4E-2</v>
      </c>
      <c r="F11" s="7">
        <v>5.6000000000000001E-2</v>
      </c>
      <c r="G11" s="7"/>
      <c r="H11" s="7"/>
      <c r="I11" s="7"/>
      <c r="J11" s="7"/>
    </row>
    <row r="12" spans="1:11" x14ac:dyDescent="0.4">
      <c r="A12" s="4" t="s">
        <v>72</v>
      </c>
      <c r="C12" s="7">
        <v>2.3E-2</v>
      </c>
      <c r="D12" s="7">
        <v>0</v>
      </c>
      <c r="E12" s="7">
        <v>0</v>
      </c>
      <c r="F12" s="7">
        <v>0</v>
      </c>
      <c r="G12" s="7"/>
      <c r="H12" s="7"/>
      <c r="I12" s="7"/>
      <c r="J12" s="7"/>
    </row>
    <row r="13" spans="1:11" x14ac:dyDescent="0.4">
      <c r="A13" s="4" t="s">
        <v>73</v>
      </c>
      <c r="C13" s="7">
        <v>2.9186449019248349E-2</v>
      </c>
      <c r="D13" s="7">
        <v>1.418644901924835E-2</v>
      </c>
      <c r="E13" s="7">
        <v>2.4186449019248352E-2</v>
      </c>
      <c r="F13" s="7">
        <v>2.4186449019248352E-2</v>
      </c>
      <c r="G13" s="7"/>
      <c r="H13" s="7"/>
      <c r="I13" s="7"/>
      <c r="J13" s="7"/>
    </row>
    <row r="14" spans="1:11" x14ac:dyDescent="0.4">
      <c r="A14" s="4" t="s">
        <v>74</v>
      </c>
      <c r="C14" s="9">
        <v>1.0149999999999999</v>
      </c>
      <c r="D14" s="9">
        <v>1.06575</v>
      </c>
      <c r="E14" s="9">
        <v>1.0149999999999999</v>
      </c>
      <c r="F14" s="9">
        <v>1.0149999999999999</v>
      </c>
      <c r="G14" s="9"/>
      <c r="H14" s="9"/>
      <c r="I14" s="9"/>
      <c r="J14" s="9"/>
    </row>
    <row r="15" spans="1:11" x14ac:dyDescent="0.4">
      <c r="A15" s="4" t="s">
        <v>75</v>
      </c>
      <c r="C15" s="7">
        <v>0</v>
      </c>
      <c r="D15" s="7">
        <v>0</v>
      </c>
      <c r="E15" s="7">
        <v>0</v>
      </c>
      <c r="F15" s="7">
        <v>0</v>
      </c>
      <c r="G15" s="7"/>
      <c r="H15" s="7"/>
      <c r="I15" s="7"/>
      <c r="J15" s="7"/>
    </row>
    <row r="16" spans="1:11" x14ac:dyDescent="0.4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9.9308574608679395E-2</v>
      </c>
      <c r="D16" s="11">
        <f>MAX((MAX(Inputs!B18+((1-0.33)*D14*(1+(1-Inputs!B22)*Inputs!B21)+0.33)*Inputs!B19+IF(ISBLANK(D17),Inputs!B24,D17)+Inputs!B25+Inputs!B39,MIN(Inputs!B27,0.08)+0.025))*Inputs!B29+Inputs!B28*Inputs!B30,D15)</f>
        <v>0.10105245599692068</v>
      </c>
      <c r="E16" s="11">
        <f>MAX((MAX(Inputs!B18+((1-0.33)*E14*(1+(1-Inputs!B22)*Inputs!B21)+0.33)*Inputs!B19+IF(ISBLANK(E17),Inputs!B24,E17)+Inputs!B25+Inputs!B39,MIN(Inputs!B27,0.08)+0.025))*Inputs!B29+Inputs!B28*Inputs!B30,E15)</f>
        <v>9.9308574608679395E-2</v>
      </c>
      <c r="F16" s="11">
        <f>MAX((MAX(Inputs!B18+((1-0.33)*F14*(1+(1-Inputs!B22)*Inputs!B21)+0.33)*Inputs!B19+IF(ISBLANK(F17),Inputs!B24,F17)+Inputs!B25+Inputs!B39,MIN(Inputs!B27,0.08)+0.025))*Inputs!B29+Inputs!B28*Inputs!B30,F15)</f>
        <v>9.9308574608679395E-2</v>
      </c>
      <c r="G16" s="11">
        <f>MAX((MAX(Inputs!B18+((1-0.33)*G14*(1+(1-Inputs!B22)*Inputs!B21)+0.33)*Inputs!B19+IF(ISBLANK(G17),Inputs!B24,G17)+Inputs!B25+Inputs!B39,MIN(Inputs!B27,0.08)+0.025))*Inputs!B29+Inputs!B28*Inputs!B30,G15)</f>
        <v>6.7873421926910302E-2</v>
      </c>
      <c r="H16" s="11">
        <f>MAX((MAX(Inputs!B18+((1-0.33)*H14*(1+(1-Inputs!B22)*Inputs!B21)+0.33)*Inputs!B19+IF(ISBLANK(H17),Inputs!B24,H17)+Inputs!B25+Inputs!B39,MIN(Inputs!B27,0.08)+0.025))*Inputs!B29+Inputs!B28*Inputs!B30,H15)</f>
        <v>6.7873421926910302E-2</v>
      </c>
      <c r="I16" s="11">
        <f>MAX((MAX(Inputs!B18+((1-0.33)*I14*(1+(1-Inputs!B22)*Inputs!B21)+0.33)*Inputs!B19+IF(ISBLANK(I17),Inputs!B24,I17)+Inputs!B25+Inputs!B39,MIN(Inputs!B27,0.08)+0.025))*Inputs!B29+Inputs!B28*Inputs!B30,I15)</f>
        <v>6.7873421926910302E-2</v>
      </c>
      <c r="J16" s="11">
        <f>MAX((MAX(Inputs!B18+((1-0.33)*J14*(1+(1-Inputs!B22)*Inputs!B21)+0.33)*Inputs!B19+IF(ISBLANK(J17),Inputs!B24,J17)+Inputs!B25+Inputs!B39,MIN(Inputs!B27,0.08)+0.025))*Inputs!B29+Inputs!B28*Inputs!B30,J15)</f>
        <v>6.7873421926910302E-2</v>
      </c>
    </row>
    <row r="17" spans="1:10" x14ac:dyDescent="0.4">
      <c r="A17" s="16" t="s">
        <v>77</v>
      </c>
      <c r="C17" s="7"/>
      <c r="D17" s="7"/>
      <c r="E17" s="7"/>
      <c r="F17" s="7"/>
      <c r="G17" s="7"/>
      <c r="H17" s="7"/>
      <c r="I17" s="7"/>
      <c r="J17" s="7"/>
    </row>
    <row r="18" spans="1:10" ht="40" customHeight="1" x14ac:dyDescent="0.4">
      <c r="A18" s="17" t="s">
        <v>78</v>
      </c>
      <c r="C18" s="18" t="s">
        <v>79</v>
      </c>
      <c r="D18" s="18" t="s">
        <v>80</v>
      </c>
      <c r="E18" s="18" t="s">
        <v>81</v>
      </c>
      <c r="F18" s="18" t="s">
        <v>82</v>
      </c>
      <c r="G18" s="18"/>
      <c r="H18" s="18"/>
      <c r="I18" s="18"/>
      <c r="J18" s="18"/>
    </row>
    <row r="19" spans="1:10" ht="40" customHeight="1" x14ac:dyDescent="0.4">
      <c r="A19" s="17" t="s">
        <v>83</v>
      </c>
      <c r="C19" s="18" t="s">
        <v>84</v>
      </c>
      <c r="D19" s="18" t="s">
        <v>85</v>
      </c>
      <c r="E19" s="18" t="s">
        <v>86</v>
      </c>
      <c r="F19" s="18" t="s">
        <v>87</v>
      </c>
      <c r="G19" s="18"/>
      <c r="H19" s="18"/>
      <c r="I19" s="18"/>
      <c r="J19" s="18"/>
    </row>
    <row r="20" spans="1:10" ht="28" customHeight="1" x14ac:dyDescent="0.4">
      <c r="A20" s="17" t="s">
        <v>88</v>
      </c>
      <c r="C20" s="18" t="s">
        <v>89</v>
      </c>
      <c r="D20" s="18" t="s">
        <v>90</v>
      </c>
      <c r="E20" s="18" t="s">
        <v>91</v>
      </c>
      <c r="F20" s="18" t="s">
        <v>92</v>
      </c>
      <c r="G20" s="18"/>
      <c r="H20" s="18"/>
      <c r="I20" s="18"/>
      <c r="J20" s="18"/>
    </row>
    <row r="21" spans="1:10" x14ac:dyDescent="0.4">
      <c r="A21" s="4" t="s">
        <v>93</v>
      </c>
      <c r="C21" s="6">
        <f t="shared" ref="C21:J21" si="0">C5*(1+C6)^1</f>
        <v>473.26100000000002</v>
      </c>
      <c r="D21" s="6">
        <f t="shared" si="0"/>
        <v>134.12702161816864</v>
      </c>
      <c r="E21" s="6">
        <f t="shared" si="0"/>
        <v>143.63676790638129</v>
      </c>
      <c r="F21" s="6">
        <f t="shared" si="0"/>
        <v>112.57019978652978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4">
      <c r="A22" s="4" t="s">
        <v>94</v>
      </c>
      <c r="C22" s="6">
        <f t="shared" ref="C22:J22" si="1">C5*(1+C6)^2</f>
        <v>506.38927000000001</v>
      </c>
      <c r="D22" s="6">
        <f t="shared" si="1"/>
        <v>137.43359761772862</v>
      </c>
      <c r="E22" s="6">
        <f t="shared" si="1"/>
        <v>138.5595775325161</v>
      </c>
      <c r="F22" s="6">
        <f t="shared" si="1"/>
        <v>116.47104669098556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4">
      <c r="A23" s="4" t="s">
        <v>95</v>
      </c>
      <c r="C23" s="6">
        <f t="shared" ref="C23:J23" si="2">C5*(1+C6)^3</f>
        <v>541.8365189000001</v>
      </c>
      <c r="D23" s="6">
        <f t="shared" si="2"/>
        <v>140.82168921876072</v>
      </c>
      <c r="E23" s="6">
        <f t="shared" si="2"/>
        <v>133.66185278202994</v>
      </c>
      <c r="F23" s="6">
        <f t="shared" si="2"/>
        <v>120.50706797197137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4">
      <c r="A24" s="4" t="s">
        <v>96</v>
      </c>
      <c r="C24" s="6">
        <f t="shared" ref="C24:J24" si="3">C5*(1+C6)^4</f>
        <v>579.76507522300005</v>
      </c>
      <c r="D24" s="6">
        <f t="shared" si="3"/>
        <v>144.29330599046406</v>
      </c>
      <c r="E24" s="6">
        <f t="shared" si="3"/>
        <v>128.93725000664432</v>
      </c>
      <c r="F24" s="6">
        <f t="shared" si="3"/>
        <v>124.68294776924394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4">
      <c r="A25" s="4" t="s">
        <v>97</v>
      </c>
      <c r="C25" s="6">
        <f t="shared" ref="C25:J25" si="4">C5*(1+C6)^5</f>
        <v>620.34863048861007</v>
      </c>
      <c r="D25" s="6">
        <f t="shared" si="4"/>
        <v>147.85050704308631</v>
      </c>
      <c r="E25" s="6">
        <f t="shared" si="4"/>
        <v>124.37964978973423</v>
      </c>
      <c r="F25" s="6">
        <f t="shared" si="4"/>
        <v>129.00353254004824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4">
      <c r="A26" s="4" t="s">
        <v>98</v>
      </c>
      <c r="C26" s="7">
        <v>5.0000000000000001E-3</v>
      </c>
      <c r="D26" s="7"/>
      <c r="E26" s="7">
        <v>0.02</v>
      </c>
      <c r="F26" s="7">
        <v>0.02</v>
      </c>
      <c r="G26" s="7"/>
      <c r="H26" s="7"/>
      <c r="I26" s="7"/>
      <c r="J26" s="7"/>
    </row>
    <row r="27" spans="1:10" x14ac:dyDescent="0.4">
      <c r="A27" s="4" t="s">
        <v>99</v>
      </c>
      <c r="C27" s="11">
        <f t="shared" ref="C27:J27" si="5">IF(ISBLANK(C9),C7,C7+(C9-C7)*(0)/4)</f>
        <v>0.1341186941154901</v>
      </c>
      <c r="D27" s="11">
        <f t="shared" si="5"/>
        <v>0.25311869411549009</v>
      </c>
      <c r="E27" s="11">
        <f t="shared" si="5"/>
        <v>9.6118694115490094E-2</v>
      </c>
      <c r="F27" s="11">
        <f t="shared" si="5"/>
        <v>7.6118694115490104E-2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4">
      <c r="A28" s="4" t="s">
        <v>100</v>
      </c>
      <c r="C28" s="11">
        <f t="shared" ref="C28:J28" si="6">IF(ISBLANK(C9),C7,C7+(C9-C7)*(1)/4)</f>
        <v>0.14058902058661757</v>
      </c>
      <c r="D28" s="11">
        <f t="shared" si="6"/>
        <v>0.24111869411549008</v>
      </c>
      <c r="E28" s="11">
        <f t="shared" si="6"/>
        <v>9.9589020586617574E-2</v>
      </c>
      <c r="F28" s="11">
        <f t="shared" si="6"/>
        <v>8.3368694115490111E-2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4">
      <c r="A29" s="4" t="s">
        <v>101</v>
      </c>
      <c r="C29" s="11">
        <f t="shared" ref="C29:J29" si="7">IF(ISBLANK(C9),C7,C7+(C9-C7)*(2)/4)</f>
        <v>0.14705934705774504</v>
      </c>
      <c r="D29" s="11">
        <f t="shared" si="7"/>
        <v>0.2291186941154901</v>
      </c>
      <c r="E29" s="11">
        <f t="shared" si="7"/>
        <v>0.10305934705774505</v>
      </c>
      <c r="F29" s="11">
        <f t="shared" si="7"/>
        <v>9.0618694115490103E-2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4">
      <c r="A30" s="4" t="s">
        <v>102</v>
      </c>
      <c r="C30" s="11">
        <f t="shared" ref="C30:J30" si="8">IF(ISBLANK(C9),C7,C7+(C9-C7)*(3)/4)</f>
        <v>0.15352967352887253</v>
      </c>
      <c r="D30" s="11">
        <f t="shared" si="8"/>
        <v>0.21711869411549012</v>
      </c>
      <c r="E30" s="11">
        <f t="shared" si="8"/>
        <v>0.10652967352887252</v>
      </c>
      <c r="F30" s="11">
        <f t="shared" si="8"/>
        <v>9.7868694115490096E-2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4">
      <c r="A31" s="4" t="s">
        <v>103</v>
      </c>
      <c r="C31" s="11">
        <f t="shared" ref="C31:J31" si="9">IF(ISBLANK(C9),C7,C7+(C9-C7)*(4)/4)</f>
        <v>0.16</v>
      </c>
      <c r="D31" s="11">
        <f t="shared" si="9"/>
        <v>0.20511869411549011</v>
      </c>
      <c r="E31" s="11">
        <f t="shared" si="9"/>
        <v>0.11</v>
      </c>
      <c r="F31" s="11">
        <f t="shared" si="9"/>
        <v>0.1051186941154901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4">
      <c r="A33" s="4" t="s">
        <v>104</v>
      </c>
      <c r="C33" s="6">
        <f t="shared" ref="C33:J37" si="10">C21*C27</f>
        <v>63.473147295790966</v>
      </c>
      <c r="D33" s="6">
        <f t="shared" si="10"/>
        <v>33.950056557590955</v>
      </c>
      <c r="E33" s="6">
        <f t="shared" si="10"/>
        <v>13.806178558131109</v>
      </c>
      <c r="F33" s="6">
        <f t="shared" si="10"/>
        <v>8.5686966040704693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4">
      <c r="A34" s="4" t="s">
        <v>105</v>
      </c>
      <c r="C34" s="6">
        <f t="shared" si="10"/>
        <v>71.19277150487224</v>
      </c>
      <c r="D34" s="6">
        <f t="shared" si="10"/>
        <v>33.137809585180456</v>
      </c>
      <c r="E34" s="6">
        <f t="shared" si="10"/>
        <v>13.799012619358781</v>
      </c>
      <c r="F34" s="6">
        <f t="shared" si="10"/>
        <v>9.7100390648917418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4">
      <c r="A35" s="4" t="s">
        <v>106</v>
      </c>
      <c r="C35" s="6">
        <f t="shared" si="10"/>
        <v>79.682124681475543</v>
      </c>
      <c r="D35" s="6">
        <f t="shared" si="10"/>
        <v>32.264881536939846</v>
      </c>
      <c r="E35" s="6">
        <f t="shared" si="10"/>
        <v>13.775103274244449</v>
      </c>
      <c r="F35" s="6">
        <f t="shared" si="10"/>
        <v>10.920193131306647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4">
      <c r="A36" s="4" t="s">
        <v>107</v>
      </c>
      <c r="C36" s="6">
        <f t="shared" si="10"/>
        <v>89.011142722429426</v>
      </c>
      <c r="D36" s="6">
        <f t="shared" si="10"/>
        <v>31.328774166256384</v>
      </c>
      <c r="E36" s="6">
        <f t="shared" si="10"/>
        <v>13.735643148918436</v>
      </c>
      <c r="F36" s="6">
        <f t="shared" si="10"/>
        <v>12.202557276645763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4">
      <c r="A37" s="4" t="s">
        <v>108</v>
      </c>
      <c r="C37" s="6">
        <f t="shared" si="10"/>
        <v>99.255780878177617</v>
      </c>
      <c r="D37" s="6">
        <f t="shared" si="10"/>
        <v>30.326902928990936</v>
      </c>
      <c r="E37" s="6">
        <f t="shared" si="10"/>
        <v>13.681761476870765</v>
      </c>
      <c r="F37" s="6">
        <f t="shared" si="10"/>
        <v>13.560682876895005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4">
      <c r="A39" s="4" t="s">
        <v>109</v>
      </c>
      <c r="C39" s="6">
        <f>C33*(1-Inputs!B22)</f>
        <v>44.431203107053676</v>
      </c>
      <c r="D39" s="6">
        <f>D33*(1-Inputs!B22)</f>
        <v>23.765039590313666</v>
      </c>
      <c r="E39" s="6">
        <f>E33*(1-Inputs!B22)</f>
        <v>9.6643249906917745</v>
      </c>
      <c r="F39" s="6">
        <f>F33*(1-Inputs!B22)</f>
        <v>5.9980876228493285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4">
      <c r="A40" s="4" t="s">
        <v>110</v>
      </c>
      <c r="C40" s="6">
        <f>C34*(1-Inputs!B22)</f>
        <v>49.834940053410563</v>
      </c>
      <c r="D40" s="6">
        <f>D34*(1-Inputs!B22)</f>
        <v>23.196466709626318</v>
      </c>
      <c r="E40" s="6">
        <f>E34*(1-Inputs!B22)</f>
        <v>9.6593088335511457</v>
      </c>
      <c r="F40" s="6">
        <f>F34*(1-Inputs!B22)</f>
        <v>6.7970273454242189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4">
      <c r="A41" s="4" t="s">
        <v>111</v>
      </c>
      <c r="C41" s="6">
        <f>C35*(1-Inputs!B22)</f>
        <v>55.777487277032876</v>
      </c>
      <c r="D41" s="6">
        <f>D35*(1-Inputs!B22)</f>
        <v>22.58541707585789</v>
      </c>
      <c r="E41" s="6">
        <f>E35*(1-Inputs!B22)</f>
        <v>9.6425722919711134</v>
      </c>
      <c r="F41" s="6">
        <f>F35*(1-Inputs!B22)</f>
        <v>7.6441351919146525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4">
      <c r="A42" s="4" t="s">
        <v>112</v>
      </c>
      <c r="C42" s="6">
        <f>C36*(1-Inputs!B22)</f>
        <v>62.307799905700591</v>
      </c>
      <c r="D42" s="6">
        <f>D36*(1-Inputs!B22)</f>
        <v>21.930141916379469</v>
      </c>
      <c r="E42" s="6">
        <f>E36*(1-Inputs!B22)</f>
        <v>9.6149502042429056</v>
      </c>
      <c r="F42" s="6">
        <f>F36*(1-Inputs!B22)</f>
        <v>8.5417900936520326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4">
      <c r="A43" s="4" t="s">
        <v>113</v>
      </c>
      <c r="C43" s="6">
        <f>C37*(1-Inputs!B22)</f>
        <v>69.479046614724325</v>
      </c>
      <c r="D43" s="6">
        <f>D37*(1-Inputs!B22)</f>
        <v>21.228832050293654</v>
      </c>
      <c r="E43" s="6">
        <f>E37*(1-Inputs!B22)</f>
        <v>9.5772330338095344</v>
      </c>
      <c r="F43" s="6">
        <f>F37*(1-Inputs!B22)</f>
        <v>9.4924780138265028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4">
      <c r="A45" s="4" t="s">
        <v>114</v>
      </c>
      <c r="C45" s="6">
        <f t="shared" ref="C45:J45" si="11">C21*IF(ISBLANK(C26),C12,C12+(C26-C12)*(0)/4)</f>
        <v>10.885003000000001</v>
      </c>
      <c r="D45" s="6">
        <f t="shared" si="11"/>
        <v>0</v>
      </c>
      <c r="E45" s="6">
        <f t="shared" si="11"/>
        <v>0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4">
      <c r="A46" s="4" t="s">
        <v>115</v>
      </c>
      <c r="C46" s="6">
        <f t="shared" ref="C46:J46" si="12">C22*IF(ISBLANK(C26),C12,C12+(C26-C12)*(1)/4)</f>
        <v>9.3682014949999992</v>
      </c>
      <c r="D46" s="6">
        <f t="shared" si="12"/>
        <v>0</v>
      </c>
      <c r="E46" s="6">
        <f t="shared" si="12"/>
        <v>0.69279788766258055</v>
      </c>
      <c r="F46" s="6">
        <f t="shared" si="12"/>
        <v>0.58235523345492779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4">
      <c r="A47" s="4" t="s">
        <v>116</v>
      </c>
      <c r="C47" s="6">
        <f t="shared" ref="C47:J47" si="13">C23*IF(ISBLANK(C26),C12,C12+(C26-C12)*(2)/4)</f>
        <v>7.5857112646000013</v>
      </c>
      <c r="D47" s="6">
        <f t="shared" si="13"/>
        <v>0</v>
      </c>
      <c r="E47" s="6">
        <f t="shared" si="13"/>
        <v>1.3366185278202993</v>
      </c>
      <c r="F47" s="6">
        <f t="shared" si="13"/>
        <v>1.2050706797197137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4">
      <c r="A48" s="4" t="s">
        <v>117</v>
      </c>
      <c r="C48" s="6">
        <f t="shared" ref="C48:J48" si="14">C24*IF(ISBLANK(C26),C12,C12+(C26-C12)*(3)/4)</f>
        <v>5.5077682146185012</v>
      </c>
      <c r="D48" s="6">
        <f t="shared" si="14"/>
        <v>0</v>
      </c>
      <c r="E48" s="6">
        <f t="shared" si="14"/>
        <v>1.9340587500996647</v>
      </c>
      <c r="F48" s="6">
        <f t="shared" si="14"/>
        <v>1.870244216538659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4">
      <c r="A49" s="4" t="s">
        <v>118</v>
      </c>
      <c r="C49" s="6">
        <f t="shared" ref="C49:J49" si="15">C25*IF(ISBLANK(C26),C12,C12+(C26-C12)*(4)/4)</f>
        <v>3.101743152443051</v>
      </c>
      <c r="D49" s="6">
        <f t="shared" si="15"/>
        <v>0</v>
      </c>
      <c r="E49" s="6">
        <f t="shared" si="15"/>
        <v>2.4875929957946847</v>
      </c>
      <c r="F49" s="6">
        <f t="shared" si="15"/>
        <v>2.5800706508009648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4">
      <c r="A51" s="4" t="s">
        <v>119</v>
      </c>
      <c r="C51" s="6">
        <f t="shared" ref="C51:J55" si="16">C39-C45</f>
        <v>33.546200107053679</v>
      </c>
      <c r="D51" s="6">
        <f t="shared" si="16"/>
        <v>23.765039590313666</v>
      </c>
      <c r="E51" s="6">
        <f t="shared" si="16"/>
        <v>9.6643249906917745</v>
      </c>
      <c r="F51" s="6">
        <f t="shared" si="16"/>
        <v>5.9980876228493285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4">
      <c r="A52" s="4" t="s">
        <v>120</v>
      </c>
      <c r="C52" s="6">
        <f t="shared" si="16"/>
        <v>40.466738558410562</v>
      </c>
      <c r="D52" s="6">
        <f t="shared" si="16"/>
        <v>23.196466709626318</v>
      </c>
      <c r="E52" s="6">
        <f t="shared" si="16"/>
        <v>8.9665109458885652</v>
      </c>
      <c r="F52" s="6">
        <f t="shared" si="16"/>
        <v>6.2146721119692909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4">
      <c r="A53" s="4" t="s">
        <v>121</v>
      </c>
      <c r="C53" s="6">
        <f t="shared" si="16"/>
        <v>48.191776012432875</v>
      </c>
      <c r="D53" s="6">
        <f t="shared" si="16"/>
        <v>22.58541707585789</v>
      </c>
      <c r="E53" s="6">
        <f t="shared" si="16"/>
        <v>8.3059537641508143</v>
      </c>
      <c r="F53" s="6">
        <f t="shared" si="16"/>
        <v>6.439064512194939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4">
      <c r="A54" s="4" t="s">
        <v>122</v>
      </c>
      <c r="C54" s="6">
        <f t="shared" si="16"/>
        <v>56.80003169108209</v>
      </c>
      <c r="D54" s="6">
        <f t="shared" si="16"/>
        <v>21.930141916379469</v>
      </c>
      <c r="E54" s="6">
        <f t="shared" si="16"/>
        <v>7.6808914541432411</v>
      </c>
      <c r="F54" s="6">
        <f t="shared" si="16"/>
        <v>6.671545877113374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4">
      <c r="A55" s="4" t="s">
        <v>123</v>
      </c>
      <c r="C55" s="6">
        <f t="shared" si="16"/>
        <v>66.377303462281276</v>
      </c>
      <c r="D55" s="6">
        <f t="shared" si="16"/>
        <v>21.228832050293654</v>
      </c>
      <c r="E55" s="6">
        <f t="shared" si="16"/>
        <v>7.0896400380148492</v>
      </c>
      <c r="F55" s="6">
        <f t="shared" si="16"/>
        <v>6.9124073630255385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4">
      <c r="A57" s="4" t="s">
        <v>124</v>
      </c>
      <c r="C57" s="6">
        <f t="shared" ref="C57:J57" si="17">C51/((1+C16))</f>
        <v>30.515726777620294</v>
      </c>
      <c r="D57" s="6">
        <f t="shared" si="17"/>
        <v>21.583930412103935</v>
      </c>
      <c r="E57" s="6">
        <f t="shared" si="17"/>
        <v>8.791275910980664</v>
      </c>
      <c r="F57" s="6">
        <f t="shared" si="17"/>
        <v>5.4562365484909146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4">
      <c r="A58" s="4" t="s">
        <v>125</v>
      </c>
      <c r="C58" s="6">
        <f t="shared" ref="C58:J58" si="18">C52/((1+C16)*(1+C16+(C104-C16)*1/5))</f>
        <v>33.507894898680014</v>
      </c>
      <c r="D58" s="6">
        <f t="shared" si="18"/>
        <v>19.15275337249993</v>
      </c>
      <c r="E58" s="6">
        <f t="shared" si="18"/>
        <v>7.4245891091278224</v>
      </c>
      <c r="F58" s="6">
        <f t="shared" si="18"/>
        <v>5.1459689457564224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4">
      <c r="A59" s="4" t="s">
        <v>126</v>
      </c>
      <c r="C59" s="6">
        <f t="shared" ref="C59:J59" si="19">C53/((1+C16)*(1+C16+(C104-C16)*1/5)*(1+C16+(C104-C16)*2/5))</f>
        <v>36.34785546174129</v>
      </c>
      <c r="D59" s="6">
        <f t="shared" si="19"/>
        <v>16.969955234699338</v>
      </c>
      <c r="E59" s="6">
        <f t="shared" si="19"/>
        <v>6.2646291934410643</v>
      </c>
      <c r="F59" s="6">
        <f t="shared" si="19"/>
        <v>4.8565586405802588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4">
      <c r="A60" s="4" t="s">
        <v>127</v>
      </c>
      <c r="C60" s="6">
        <f t="shared" ref="C60:J60" si="20">C54/((1+C16)*(1+C16+(C104-C16)*1/5)*(1+C16+(C104-C16)*2/5)*(1+C16+(C104-C16)*3/5))</f>
        <v>39.048100588598018</v>
      </c>
      <c r="D60" s="6">
        <f t="shared" si="20"/>
        <v>15.009404457162541</v>
      </c>
      <c r="E60" s="6">
        <f t="shared" si="20"/>
        <v>5.2803530769610099</v>
      </c>
      <c r="F60" s="6">
        <f t="shared" si="20"/>
        <v>4.5864621327644626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4">
      <c r="A61" s="4" t="s">
        <v>128</v>
      </c>
      <c r="C61" s="6">
        <f t="shared" ref="C61:J61" si="21">C55/((1+C16)*(1+C16+(C104-C16)*1/5)*(1+C16+(C104-C16)*2/5)*(1+C16+(C104-C16)*3/5)*(1+C16+(C104-C16)*4/5))</f>
        <v>41.620295777380839</v>
      </c>
      <c r="D61" s="6">
        <f t="shared" si="21"/>
        <v>13.247813586363863</v>
      </c>
      <c r="E61" s="6">
        <f t="shared" si="21"/>
        <v>4.4453887088832094</v>
      </c>
      <c r="F61" s="6">
        <f t="shared" si="21"/>
        <v>4.3342592117552767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4">
      <c r="A62" s="3" t="s">
        <v>129</v>
      </c>
    </row>
    <row r="63" spans="1:10" x14ac:dyDescent="0.4">
      <c r="A63" s="4" t="s">
        <v>130</v>
      </c>
      <c r="C63" s="6">
        <f t="shared" ref="C63:J63" si="22">C25*(1+(C6+(C13-C6)*1/5))</f>
        <v>658.70930853155551</v>
      </c>
      <c r="D63" s="6">
        <f t="shared" si="22"/>
        <v>151.18591794413487</v>
      </c>
      <c r="E63" s="6">
        <f t="shared" si="22"/>
        <v>121.46410958593385</v>
      </c>
      <c r="F63" s="6">
        <f t="shared" si="22"/>
        <v>133.20380332769477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4">
      <c r="A64" s="4" t="s">
        <v>131</v>
      </c>
      <c r="C64" s="6">
        <f t="shared" ref="C64:J64" si="23">C63*(1+(C6+(C13-C6)*2/5))</f>
        <v>694.06525375066508</v>
      </c>
      <c r="D64" s="6">
        <f t="shared" si="23"/>
        <v>154.28010746832967</v>
      </c>
      <c r="E64" s="6">
        <f t="shared" si="23"/>
        <v>120.06315743116807</v>
      </c>
      <c r="F64" s="6">
        <f t="shared" si="23"/>
        <v>137.26200672375211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4">
      <c r="A65" s="4" t="s">
        <v>132</v>
      </c>
      <c r="C65" s="6">
        <f t="shared" ref="C65:J65" si="24">C64*(1+(C6+(C13-C6)*3/5))</f>
        <v>725.65346094245899</v>
      </c>
      <c r="D65" s="6">
        <f t="shared" si="24"/>
        <v>157.11468015221362</v>
      </c>
      <c r="E65" s="6">
        <f t="shared" si="24"/>
        <v>120.10792874706986</v>
      </c>
      <c r="F65" s="6">
        <f t="shared" si="24"/>
        <v>141.15652764508459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4">
      <c r="A66" s="4" t="s">
        <v>133</v>
      </c>
      <c r="C66" s="6">
        <f t="shared" ref="C66:J66" si="25">C65*(1+(C6+(C13-C6)*4/5))</f>
        <v>752.75600759040401</v>
      </c>
      <c r="D66" s="6">
        <f t="shared" si="25"/>
        <v>159.6724558516849</v>
      </c>
      <c r="E66" s="6">
        <f t="shared" si="25"/>
        <v>121.58281490031297</v>
      </c>
      <c r="F66" s="6">
        <f t="shared" si="25"/>
        <v>144.8660751080667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4">
      <c r="A67" s="4" t="s">
        <v>134</v>
      </c>
      <c r="C67" s="6">
        <f t="shared" ref="C67:J67" si="26">C66*(1+(C6+(C13-C6)*5/5))</f>
        <v>774.72628242987423</v>
      </c>
      <c r="D67" s="6">
        <f t="shared" si="26"/>
        <v>161.937641006403</v>
      </c>
      <c r="E67" s="6">
        <f t="shared" si="26"/>
        <v>124.52347145451608</v>
      </c>
      <c r="F67" s="6">
        <f t="shared" si="26"/>
        <v>148.36987104828654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4">
      <c r="A69" s="4" t="s">
        <v>135</v>
      </c>
      <c r="C69" s="11">
        <f t="shared" ref="C69:J69" si="27">IF(ISBLANK(C9),C7,C9)</f>
        <v>0.16</v>
      </c>
      <c r="D69" s="11">
        <f t="shared" si="27"/>
        <v>0.20511869411549011</v>
      </c>
      <c r="E69" s="11">
        <f t="shared" si="27"/>
        <v>0.11</v>
      </c>
      <c r="F69" s="11">
        <f t="shared" si="27"/>
        <v>0.1051186941154901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4">
      <c r="A70" s="4" t="s">
        <v>136</v>
      </c>
      <c r="C70" s="11">
        <f t="shared" ref="C70:J70" si="28">IF(ISBLANK(C9),C7,C9)</f>
        <v>0.16</v>
      </c>
      <c r="D70" s="11">
        <f t="shared" si="28"/>
        <v>0.20511869411549011</v>
      </c>
      <c r="E70" s="11">
        <f t="shared" si="28"/>
        <v>0.11</v>
      </c>
      <c r="F70" s="11">
        <f t="shared" si="28"/>
        <v>0.1051186941154901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4">
      <c r="A71" s="4" t="s">
        <v>137</v>
      </c>
      <c r="C71" s="11">
        <f t="shared" ref="C71:J71" si="29">IF(ISBLANK(C9),C7,C9)</f>
        <v>0.16</v>
      </c>
      <c r="D71" s="11">
        <f t="shared" si="29"/>
        <v>0.20511869411549011</v>
      </c>
      <c r="E71" s="11">
        <f t="shared" si="29"/>
        <v>0.11</v>
      </c>
      <c r="F71" s="11">
        <f t="shared" si="29"/>
        <v>0.1051186941154901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4">
      <c r="A72" s="4" t="s">
        <v>138</v>
      </c>
      <c r="C72" s="11">
        <f t="shared" ref="C72:J72" si="30">IF(ISBLANK(C9),C7,C9)</f>
        <v>0.16</v>
      </c>
      <c r="D72" s="11">
        <f t="shared" si="30"/>
        <v>0.20511869411549011</v>
      </c>
      <c r="E72" s="11">
        <f t="shared" si="30"/>
        <v>0.11</v>
      </c>
      <c r="F72" s="11">
        <f t="shared" si="30"/>
        <v>0.1051186941154901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4">
      <c r="A73" s="4" t="s">
        <v>139</v>
      </c>
      <c r="C73" s="11">
        <f t="shared" ref="C73:J73" si="31">IF(ISBLANK(C9),C7,C9)</f>
        <v>0.16</v>
      </c>
      <c r="D73" s="11">
        <f t="shared" si="31"/>
        <v>0.20511869411549011</v>
      </c>
      <c r="E73" s="11">
        <f t="shared" si="31"/>
        <v>0.11</v>
      </c>
      <c r="F73" s="11">
        <f t="shared" si="31"/>
        <v>0.1051186941154901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4">
      <c r="A75" s="4" t="s">
        <v>140</v>
      </c>
      <c r="C75" s="6">
        <f t="shared" ref="C75:J79" si="32">C63*C69</f>
        <v>105.39348936504888</v>
      </c>
      <c r="D75" s="6">
        <f t="shared" si="32"/>
        <v>31.011058057352589</v>
      </c>
      <c r="E75" s="6">
        <f t="shared" si="32"/>
        <v>13.361052054452724</v>
      </c>
      <c r="F75" s="6">
        <f t="shared" si="32"/>
        <v>14.00220985702385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4">
      <c r="A76" s="4" t="s">
        <v>141</v>
      </c>
      <c r="C76" s="6">
        <f t="shared" si="32"/>
        <v>111.05044060010641</v>
      </c>
      <c r="D76" s="6">
        <f t="shared" si="32"/>
        <v>31.645734171901257</v>
      </c>
      <c r="E76" s="6">
        <f t="shared" si="32"/>
        <v>13.206947317428487</v>
      </c>
      <c r="F76" s="6">
        <f t="shared" si="32"/>
        <v>14.428802898472444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4">
      <c r="A77" s="4" t="s">
        <v>142</v>
      </c>
      <c r="C77" s="6">
        <f t="shared" si="32"/>
        <v>116.10455375079344</v>
      </c>
      <c r="D77" s="6">
        <f t="shared" si="32"/>
        <v>32.227158019194974</v>
      </c>
      <c r="E77" s="6">
        <f t="shared" si="32"/>
        <v>13.211872162177684</v>
      </c>
      <c r="F77" s="6">
        <f t="shared" si="32"/>
        <v>14.838189851928369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4">
      <c r="A78" s="4" t="s">
        <v>143</v>
      </c>
      <c r="C78" s="6">
        <f t="shared" si="32"/>
        <v>120.44096121446465</v>
      </c>
      <c r="D78" s="6">
        <f t="shared" si="32"/>
        <v>32.751805630510852</v>
      </c>
      <c r="E78" s="6">
        <f t="shared" si="32"/>
        <v>13.374109639034426</v>
      </c>
      <c r="F78" s="6">
        <f t="shared" si="32"/>
        <v>15.228132636996477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4">
      <c r="A79" s="4" t="s">
        <v>144</v>
      </c>
      <c r="C79" s="6">
        <f t="shared" si="32"/>
        <v>123.95620518877988</v>
      </c>
      <c r="D79" s="6">
        <f t="shared" si="32"/>
        <v>33.216437451376422</v>
      </c>
      <c r="E79" s="6">
        <f t="shared" si="32"/>
        <v>13.697581859996768</v>
      </c>
      <c r="F79" s="6">
        <f t="shared" si="32"/>
        <v>15.596447090679543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4">
      <c r="A81" s="4" t="s">
        <v>145</v>
      </c>
      <c r="C81" s="6">
        <f>C75*(1-Inputs!B22)</f>
        <v>73.775442555534212</v>
      </c>
      <c r="D81" s="6">
        <f>D75*(1-Inputs!B22)</f>
        <v>21.70774064014681</v>
      </c>
      <c r="E81" s="6">
        <f>E75*(1-Inputs!B22)</f>
        <v>9.3527364381169065</v>
      </c>
      <c r="F81" s="6">
        <f>F75*(1-Inputs!B22)</f>
        <v>9.8015468999166941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4">
      <c r="A82" s="4" t="s">
        <v>146</v>
      </c>
      <c r="C82" s="6">
        <f>C76*(1-Inputs!B22)</f>
        <v>77.735308420074489</v>
      </c>
      <c r="D82" s="6">
        <f>D76*(1-Inputs!B22)</f>
        <v>22.15201392033088</v>
      </c>
      <c r="E82" s="6">
        <f>E76*(1-Inputs!B22)</f>
        <v>9.2448631221999396</v>
      </c>
      <c r="F82" s="6">
        <f>F76*(1-Inputs!B22)</f>
        <v>10.100162028930709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4">
      <c r="A83" s="4" t="s">
        <v>147</v>
      </c>
      <c r="C83" s="6">
        <f>C77*(1-Inputs!B22)</f>
        <v>81.273187625555408</v>
      </c>
      <c r="D83" s="6">
        <f>D77*(1-Inputs!B22)</f>
        <v>22.559010613436481</v>
      </c>
      <c r="E83" s="6">
        <f>E77*(1-Inputs!B22)</f>
        <v>9.2483105135243786</v>
      </c>
      <c r="F83" s="6">
        <f>F77*(1-Inputs!B22)</f>
        <v>10.386732896349859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4">
      <c r="A84" s="4" t="s">
        <v>148</v>
      </c>
      <c r="C84" s="6">
        <f>C78*(1-Inputs!B22)</f>
        <v>84.308672850125248</v>
      </c>
      <c r="D84" s="6">
        <f>D78*(1-Inputs!B22)</f>
        <v>22.926263941357593</v>
      </c>
      <c r="E84" s="6">
        <f>E78*(1-Inputs!B22)</f>
        <v>9.3618767473240982</v>
      </c>
      <c r="F84" s="6">
        <f>F78*(1-Inputs!B22)</f>
        <v>10.659692845897533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4">
      <c r="A85" s="4" t="s">
        <v>149</v>
      </c>
      <c r="C85" s="6">
        <f>C79*(1-Inputs!B22)</f>
        <v>86.769343632145905</v>
      </c>
      <c r="D85" s="6">
        <f>D79*(1-Inputs!B22)</f>
        <v>23.251506215963495</v>
      </c>
      <c r="E85" s="6">
        <f>E79*(1-Inputs!B22)</f>
        <v>9.5883073019977374</v>
      </c>
      <c r="F85" s="6">
        <f>F79*(1-Inputs!B22)</f>
        <v>10.91751296347568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4">
      <c r="A87" s="4" t="s">
        <v>150</v>
      </c>
      <c r="C87" s="6">
        <f t="shared" ref="C87:J87" si="33">C63*MAX(IF(ISBLANK(C26),C12,C26),0)</f>
        <v>3.2935465426577775</v>
      </c>
      <c r="D87" s="6">
        <f t="shared" si="33"/>
        <v>0</v>
      </c>
      <c r="E87" s="6">
        <f t="shared" si="33"/>
        <v>2.4292821917186771</v>
      </c>
      <c r="F87" s="6">
        <f t="shared" si="33"/>
        <v>2.6640760665538954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4">
      <c r="A88" s="4" t="s">
        <v>151</v>
      </c>
      <c r="C88" s="6">
        <f t="shared" ref="C88:J88" si="34">C64*MAX(IF(ISBLANK(C26),C12,C26),0)</f>
        <v>3.4703262687533254</v>
      </c>
      <c r="D88" s="6">
        <f t="shared" si="34"/>
        <v>0</v>
      </c>
      <c r="E88" s="6">
        <f t="shared" si="34"/>
        <v>2.4012631486233613</v>
      </c>
      <c r="F88" s="6">
        <f t="shared" si="34"/>
        <v>2.7452401344750421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4">
      <c r="A89" s="4" t="s">
        <v>152</v>
      </c>
      <c r="C89" s="6">
        <f t="shared" ref="C89:J89" si="35">C65*MAX(IF(ISBLANK(C26),C12,C26),0)</f>
        <v>3.6282673047122951</v>
      </c>
      <c r="D89" s="6">
        <f t="shared" si="35"/>
        <v>0</v>
      </c>
      <c r="E89" s="6">
        <f t="shared" si="35"/>
        <v>2.4021585749413972</v>
      </c>
      <c r="F89" s="6">
        <f t="shared" si="35"/>
        <v>2.8231305529016919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4">
      <c r="A90" s="4" t="s">
        <v>153</v>
      </c>
      <c r="C90" s="6">
        <f t="shared" ref="C90:J90" si="36">C66*MAX(IF(ISBLANK(C26),C12,C26),0)</f>
        <v>3.7637800379520203</v>
      </c>
      <c r="D90" s="6">
        <f t="shared" si="36"/>
        <v>0</v>
      </c>
      <c r="E90" s="6">
        <f t="shared" si="36"/>
        <v>2.4316562980062595</v>
      </c>
      <c r="F90" s="6">
        <f t="shared" si="36"/>
        <v>2.8973215021613341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4">
      <c r="A91" s="4" t="s">
        <v>154</v>
      </c>
      <c r="C91" s="6">
        <f t="shared" ref="C91:J91" si="37">C67*MAX(IF(ISBLANK(C26),C12,C26),0)</f>
        <v>3.8736314121493711</v>
      </c>
      <c r="D91" s="6">
        <f t="shared" si="37"/>
        <v>0</v>
      </c>
      <c r="E91" s="6">
        <f t="shared" si="37"/>
        <v>2.4904694290903215</v>
      </c>
      <c r="F91" s="6">
        <f t="shared" si="37"/>
        <v>2.9673974209657308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4">
      <c r="A93" s="4" t="s">
        <v>155</v>
      </c>
      <c r="C93" s="6">
        <f t="shared" ref="C93:J97" si="38">C81-C87</f>
        <v>70.481896012876433</v>
      </c>
      <c r="D93" s="6">
        <f t="shared" si="38"/>
        <v>21.70774064014681</v>
      </c>
      <c r="E93" s="6">
        <f t="shared" si="38"/>
        <v>6.9234542463982294</v>
      </c>
      <c r="F93" s="6">
        <f t="shared" si="38"/>
        <v>7.1374708333627987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4">
      <c r="A94" s="4" t="s">
        <v>156</v>
      </c>
      <c r="C94" s="6">
        <f t="shared" si="38"/>
        <v>74.264982151321163</v>
      </c>
      <c r="D94" s="6">
        <f t="shared" si="38"/>
        <v>22.15201392033088</v>
      </c>
      <c r="E94" s="6">
        <f t="shared" si="38"/>
        <v>6.8435999735765787</v>
      </c>
      <c r="F94" s="6">
        <f t="shared" si="38"/>
        <v>7.3549218944556678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4">
      <c r="A95" s="4" t="s">
        <v>157</v>
      </c>
      <c r="C95" s="6">
        <f t="shared" si="38"/>
        <v>77.644920320843113</v>
      </c>
      <c r="D95" s="6">
        <f t="shared" si="38"/>
        <v>22.559010613436481</v>
      </c>
      <c r="E95" s="6">
        <f t="shared" si="38"/>
        <v>6.846151938582981</v>
      </c>
      <c r="F95" s="6">
        <f t="shared" si="38"/>
        <v>7.5636023434481672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4">
      <c r="A96" s="4" t="s">
        <v>158</v>
      </c>
      <c r="C96" s="6">
        <f t="shared" si="38"/>
        <v>80.544892812173231</v>
      </c>
      <c r="D96" s="6">
        <f t="shared" si="38"/>
        <v>22.926263941357593</v>
      </c>
      <c r="E96" s="6">
        <f t="shared" si="38"/>
        <v>6.9302204493178383</v>
      </c>
      <c r="F96" s="6">
        <f t="shared" si="38"/>
        <v>7.7623713437361985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4">
      <c r="A97" s="4" t="s">
        <v>159</v>
      </c>
      <c r="C97" s="6">
        <f t="shared" si="38"/>
        <v>82.89571221999654</v>
      </c>
      <c r="D97" s="6">
        <f t="shared" si="38"/>
        <v>23.251506215963495</v>
      </c>
      <c r="E97" s="6">
        <f t="shared" si="38"/>
        <v>7.0978378729074159</v>
      </c>
      <c r="F97" s="6">
        <f t="shared" si="38"/>
        <v>7.9501155425099492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4">
      <c r="A99" s="4" t="s">
        <v>160</v>
      </c>
      <c r="C99" s="6">
        <f t="shared" ref="C99:J99" si="39">C93/(((1+C16)*(1+C16+(C104-C16)*1/5)*(1+C16+(C104-C16)*2/5)*(1+C16+(C104-C16)*3/5)*(1+C16+(C104-C16)*4/5))*(1+C104)^1)</f>
        <v>40.335393239873135</v>
      </c>
      <c r="D99" s="6">
        <f t="shared" si="39"/>
        <v>12.363911606811387</v>
      </c>
      <c r="E99" s="6">
        <f t="shared" si="39"/>
        <v>3.9621557506870082</v>
      </c>
      <c r="F99" s="6">
        <f t="shared" si="39"/>
        <v>4.0846332049469547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4">
      <c r="A100" s="4" t="s">
        <v>161</v>
      </c>
      <c r="C100" s="6">
        <f t="shared" ref="C100:J100" si="40">C94/(((1+C16)*(1+C16+(C104-C16)*1/5)*(1+C16+(C104-C16)*2/5)*(1+C16+(C104-C16)*3/5)*(1+C16+(C104-C16)*4/5))*(1+C104)^2)</f>
        <v>38.789658682024829</v>
      </c>
      <c r="D100" s="6">
        <f t="shared" si="40"/>
        <v>11.51536327739111</v>
      </c>
      <c r="E100" s="6">
        <f t="shared" si="40"/>
        <v>3.5745098085454412</v>
      </c>
      <c r="F100" s="6">
        <f t="shared" si="40"/>
        <v>3.8415805357304786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4">
      <c r="A101" s="4" t="s">
        <v>162</v>
      </c>
      <c r="C101" s="6">
        <f t="shared" ref="C101:J101" si="41">C95/(((1+C16)*(1+C16+(C104-C16)*1/5)*(1+C16+(C104-C16)*2/5)*(1+C16+(C104-C16)*3/5)*(1+C16+(C104-C16)*4/5))*(1+C104)^3)</f>
        <v>37.014176026783687</v>
      </c>
      <c r="D101" s="6">
        <f t="shared" si="41"/>
        <v>10.703052024513628</v>
      </c>
      <c r="E101" s="6">
        <f t="shared" si="41"/>
        <v>3.2636349153776196</v>
      </c>
      <c r="F101" s="6">
        <f t="shared" si="41"/>
        <v>3.605651308290815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4">
      <c r="A102" s="4" t="s">
        <v>163</v>
      </c>
      <c r="C102" s="6">
        <f t="shared" ref="C102:J102" si="42">C96/(((1+C16)*(1+C16+(C104-C16)*1/5)*(1+C16+(C104-C16)*2/5)*(1+C16+(C104-C16)*3/5)*(1+C16+(C104-C16)*4/5))*(1+C104)^4)</f>
        <v>35.044204458593057</v>
      </c>
      <c r="D102" s="6">
        <f t="shared" si="42"/>
        <v>9.9275946429108242</v>
      </c>
      <c r="E102" s="6">
        <f t="shared" si="42"/>
        <v>3.0152633381158522</v>
      </c>
      <c r="F102" s="6">
        <f t="shared" si="42"/>
        <v>3.3773231170319731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4">
      <c r="A103" s="4" t="s">
        <v>164</v>
      </c>
      <c r="C103" s="6">
        <f t="shared" ref="C103:J103" si="43">C97/(((1+C16)*(1+C16+(C104-C16)*1/5)*(1+C16+(C104-C16)*2/5)*(1+C16+(C104-C16)*3/5)*(1+C16+(C104-C16)*4/5))*(1+C104)^5)</f>
        <v>32.917998797884366</v>
      </c>
      <c r="D103" s="6">
        <f t="shared" si="43"/>
        <v>9.189354372001846</v>
      </c>
      <c r="E103" s="6">
        <f t="shared" si="43"/>
        <v>2.8185609642615868</v>
      </c>
      <c r="F103" s="6">
        <f t="shared" si="43"/>
        <v>3.1570015729746661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4">
      <c r="A104" s="4" t="s">
        <v>165</v>
      </c>
      <c r="C104" s="11">
        <f>MAX((Inputs!B18+((1+(1-Inputs!B22)*(Inputs!B36/(1-Inputs!B36)))/(1+(1-Inputs!B22)*0.25))*Inputs!B19+IF(ISBLANK(C17),Inputs!B24,C17)+Inputs!B25+Inputs!B39)*(1-Inputs!B36)+Inputs!B38*Inputs!B36,C15)</f>
        <v>9.5662605946808518E-2</v>
      </c>
      <c r="D104" s="11">
        <f>MAX((Inputs!B18+((1+(1-Inputs!B22)*(Inputs!B36/(1-Inputs!B36)))/(1+(1-Inputs!B22)*0.25))*Inputs!B19+IF(ISBLANK(D17),Inputs!B24,D17)+Inputs!B25+Inputs!B39)*(1-Inputs!B36)+Inputs!B38*Inputs!B36,D15)</f>
        <v>9.5662605946808518E-2</v>
      </c>
      <c r="E104" s="11">
        <f>MAX((Inputs!B18+((1+(1-Inputs!B22)*(Inputs!B36/(1-Inputs!B36)))/(1+(1-Inputs!B22)*0.25))*Inputs!B19+IF(ISBLANK(E17),Inputs!B24,E17)+Inputs!B25+Inputs!B39)*(1-Inputs!B36)+Inputs!B38*Inputs!B36,E15)</f>
        <v>9.5662605946808518E-2</v>
      </c>
      <c r="F104" s="11">
        <f>MAX((Inputs!B18+((1+(1-Inputs!B22)*(Inputs!B36/(1-Inputs!B36)))/(1+(1-Inputs!B22)*0.25))*Inputs!B19+IF(ISBLANK(F17),Inputs!B24,F17)+Inputs!B25+Inputs!B39)*(1-Inputs!B36)+Inputs!B38*Inputs!B36,F15)</f>
        <v>9.5662605946808518E-2</v>
      </c>
      <c r="G104" s="11">
        <f>MAX((Inputs!B18+((1+(1-Inputs!B22)*(Inputs!B36/(1-Inputs!B36)))/(1+(1-Inputs!B22)*0.25))*Inputs!B19+IF(ISBLANK(G17),Inputs!B24,G17)+Inputs!B25+Inputs!B39)*(1-Inputs!B36)+Inputs!B38*Inputs!B36,G15)</f>
        <v>9.5662605946808518E-2</v>
      </c>
      <c r="H104" s="11">
        <f>MAX((Inputs!B18+((1+(1-Inputs!B22)*(Inputs!B36/(1-Inputs!B36)))/(1+(1-Inputs!B22)*0.25))*Inputs!B19+IF(ISBLANK(H17),Inputs!B24,H17)+Inputs!B25+Inputs!B39)*(1-Inputs!B36)+Inputs!B38*Inputs!B36,H15)</f>
        <v>9.5662605946808518E-2</v>
      </c>
      <c r="I104" s="11">
        <f>MAX((Inputs!B18+((1+(1-Inputs!B22)*(Inputs!B36/(1-Inputs!B36)))/(1+(1-Inputs!B22)*0.25))*Inputs!B19+IF(ISBLANK(I17),Inputs!B24,I17)+Inputs!B25+Inputs!B39)*(1-Inputs!B36)+Inputs!B38*Inputs!B36,I15)</f>
        <v>9.5662605946808518E-2</v>
      </c>
      <c r="J104" s="11">
        <f>MAX((Inputs!B18+((1+(1-Inputs!B22)*(Inputs!B36/(1-Inputs!B36)))/(1+(1-Inputs!B22)*0.25))*Inputs!B19+IF(ISBLANK(J17),Inputs!B24,J17)+Inputs!B25+Inputs!B39)*(1-Inputs!B36)+Inputs!B38*Inputs!B36,J15)</f>
        <v>9.5662605946808518E-2</v>
      </c>
    </row>
    <row r="105" spans="1:11" x14ac:dyDescent="0.4">
      <c r="A105" s="4" t="s">
        <v>166</v>
      </c>
      <c r="C105" s="6">
        <f t="shared" ref="C105:J105" si="44">SUM(C57:C61,C99:C103)</f>
        <v>365.14130470917951</v>
      </c>
      <c r="D105" s="6">
        <f t="shared" si="44"/>
        <v>139.66313298645841</v>
      </c>
      <c r="E105" s="6">
        <f t="shared" si="44"/>
        <v>48.840360776381281</v>
      </c>
      <c r="F105" s="6">
        <f t="shared" si="44"/>
        <v>42.445675218322215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4">
      <c r="A106" s="4" t="s">
        <v>167</v>
      </c>
      <c r="C106" s="6">
        <f t="shared" ref="C106:J106" si="45">IF(C5=0,0,C97*(1+C13)/(C104-C13))</f>
        <v>1283.3946431588793</v>
      </c>
      <c r="D106" s="6">
        <f t="shared" si="45"/>
        <v>289.42654406838318</v>
      </c>
      <c r="E106" s="6">
        <f t="shared" si="45"/>
        <v>101.705375320261</v>
      </c>
      <c r="F106" s="6">
        <f t="shared" si="45"/>
        <v>113.91771685526096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4">
      <c r="A107" s="4" t="s">
        <v>168</v>
      </c>
      <c r="C107" s="6">
        <f t="shared" ref="C107:J107" si="46">C106/(((1+C16)*(1+C16+(C104-C16)*1/5)*(1+C16+(C104-C16)*2/5)*(1+C16+(C104-C16)*3/5)*(1+C16+(C104-C16)*4/5))*(1+C104)^5)</f>
        <v>509.63773866369206</v>
      </c>
      <c r="D107" s="6">
        <f t="shared" si="46"/>
        <v>114.38584035825534</v>
      </c>
      <c r="E107" s="6">
        <f t="shared" si="46"/>
        <v>40.387341309592159</v>
      </c>
      <c r="F107" s="6">
        <f t="shared" si="46"/>
        <v>45.236878555880608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4">
      <c r="A109" s="19" t="s">
        <v>169</v>
      </c>
      <c r="C109" s="20">
        <f t="shared" ref="C109:J109" si="47">C105+C107</f>
        <v>874.77904337287157</v>
      </c>
      <c r="D109" s="20">
        <f t="shared" si="47"/>
        <v>254.04897334471374</v>
      </c>
      <c r="E109" s="20">
        <f t="shared" si="47"/>
        <v>89.227702085973448</v>
      </c>
      <c r="F109" s="20">
        <f t="shared" si="47"/>
        <v>87.68255377420283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1305.7382725777618</v>
      </c>
    </row>
    <row r="110" spans="1:11" x14ac:dyDescent="0.4">
      <c r="A110" s="4" t="s">
        <v>170</v>
      </c>
      <c r="K110" s="11">
        <f>IFERROR(SUMPRODUCT(C109:J109,C16:J16)/SUM(C109:J109),0)</f>
        <v>9.964787022834673E-2</v>
      </c>
    </row>
    <row r="111" spans="1:11" x14ac:dyDescent="0.4">
      <c r="A111" s="4" t="s">
        <v>171</v>
      </c>
      <c r="K111" s="5">
        <v>98.9</v>
      </c>
    </row>
    <row r="112" spans="1:11" x14ac:dyDescent="0.4">
      <c r="A112" s="4" t="s">
        <v>172</v>
      </c>
      <c r="K112" s="5">
        <v>5</v>
      </c>
    </row>
    <row r="113" spans="1:11" x14ac:dyDescent="0.4">
      <c r="A113" s="4" t="s">
        <v>173</v>
      </c>
      <c r="K113" s="5">
        <v>-109.538296612876</v>
      </c>
    </row>
    <row r="114" spans="1:11" x14ac:dyDescent="0.4">
      <c r="A114" s="4" t="s">
        <v>174</v>
      </c>
      <c r="K114" s="5">
        <v>0</v>
      </c>
    </row>
    <row r="115" spans="1:11" x14ac:dyDescent="0.4">
      <c r="A115" s="4" t="s">
        <v>175</v>
      </c>
      <c r="K115" s="5">
        <v>0</v>
      </c>
    </row>
    <row r="116" spans="1:11" x14ac:dyDescent="0.4">
      <c r="A116" s="4" t="s">
        <v>176</v>
      </c>
      <c r="K116" s="5">
        <v>-4.5</v>
      </c>
    </row>
    <row r="117" spans="1:11" x14ac:dyDescent="0.4">
      <c r="A117" s="4" t="s">
        <v>177</v>
      </c>
      <c r="K117" s="5">
        <v>0</v>
      </c>
    </row>
    <row r="118" spans="1:11" x14ac:dyDescent="0.4">
      <c r="A118" s="4" t="s">
        <v>178</v>
      </c>
      <c r="K118" s="5">
        <v>0</v>
      </c>
    </row>
    <row r="119" spans="1:11" x14ac:dyDescent="0.4">
      <c r="A119" s="4" t="s">
        <v>179</v>
      </c>
      <c r="K119" s="20">
        <f>K109+K113+K114+K115+K116+K117+K118-K111-K112</f>
        <v>1087.7999759648858</v>
      </c>
    </row>
    <row r="120" spans="1:11" x14ac:dyDescent="0.4">
      <c r="A120" s="4" t="s">
        <v>180</v>
      </c>
      <c r="K120" s="6">
        <f>Inputs!B11</f>
        <v>122.3</v>
      </c>
    </row>
    <row r="122" spans="1:11" ht="15.9" customHeight="1" x14ac:dyDescent="0.45">
      <c r="A122" s="4" t="s">
        <v>181</v>
      </c>
      <c r="K122" s="21">
        <f>K119/K120</f>
        <v>8.8945214715035643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2"/>
  <sheetViews>
    <sheetView workbookViewId="0"/>
  </sheetViews>
  <sheetFormatPr baseColWidth="10" defaultColWidth="9.23046875" defaultRowHeight="14.6" x14ac:dyDescent="0.4"/>
  <cols>
    <col min="1" max="1" width="30" customWidth="1"/>
    <col min="2" max="2" width="4" customWidth="1"/>
    <col min="3" max="11" width="14" customWidth="1"/>
  </cols>
  <sheetData>
    <row r="1" spans="1:11" ht="18.45" customHeight="1" x14ac:dyDescent="0.5">
      <c r="A1" s="1" t="s">
        <v>183</v>
      </c>
    </row>
    <row r="2" spans="1:11" x14ac:dyDescent="0.4">
      <c r="A2" s="2" t="s">
        <v>54</v>
      </c>
    </row>
    <row r="3" spans="1:11" x14ac:dyDescent="0.4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4">
      <c r="A4" s="4" t="s">
        <v>64</v>
      </c>
      <c r="C4" s="14" t="s">
        <v>55</v>
      </c>
      <c r="D4" s="14" t="s">
        <v>56</v>
      </c>
      <c r="E4" s="14" t="s">
        <v>57</v>
      </c>
      <c r="F4" s="14" t="s">
        <v>58</v>
      </c>
      <c r="G4" s="14"/>
      <c r="H4" s="14"/>
      <c r="I4" s="14"/>
      <c r="J4" s="14"/>
    </row>
    <row r="5" spans="1:11" x14ac:dyDescent="0.4">
      <c r="A5" s="4" t="s">
        <v>65</v>
      </c>
      <c r="C5" s="5">
        <v>442.3</v>
      </c>
      <c r="D5" s="5">
        <v>130.9</v>
      </c>
      <c r="E5" s="5">
        <v>148.9</v>
      </c>
      <c r="F5" s="5">
        <v>108.8</v>
      </c>
      <c r="G5" s="5"/>
      <c r="H5" s="5"/>
      <c r="I5" s="5"/>
      <c r="J5" s="5"/>
    </row>
    <row r="6" spans="1:11" x14ac:dyDescent="0.4">
      <c r="A6" s="4" t="s">
        <v>66</v>
      </c>
      <c r="C6" s="7">
        <v>-0.01</v>
      </c>
      <c r="D6" s="7">
        <v>-4.6525715673692257E-3</v>
      </c>
      <c r="E6" s="7">
        <v>-6.4652571567369227E-2</v>
      </c>
      <c r="F6" s="7">
        <v>5.3474284326307754E-3</v>
      </c>
      <c r="G6" s="7"/>
      <c r="H6" s="7"/>
      <c r="I6" s="7"/>
      <c r="J6" s="7"/>
    </row>
    <row r="7" spans="1:11" x14ac:dyDescent="0.4">
      <c r="A7" s="4" t="s">
        <v>67</v>
      </c>
      <c r="C7" s="7">
        <v>8.8999999999999996E-2</v>
      </c>
      <c r="D7" s="7">
        <v>0.20288130588450989</v>
      </c>
      <c r="E7" s="7">
        <v>4.5881305884509893E-2</v>
      </c>
      <c r="F7" s="7">
        <v>2.58813058845099E-2</v>
      </c>
      <c r="G7" s="7"/>
      <c r="H7" s="7"/>
      <c r="I7" s="7"/>
      <c r="J7" s="7"/>
    </row>
    <row r="8" spans="1:11" x14ac:dyDescent="0.4">
      <c r="A8" s="4" t="s">
        <v>68</v>
      </c>
      <c r="C8" s="15">
        <v>7.9000000000000001E-2</v>
      </c>
      <c r="D8" s="15">
        <v>0.22800000000000001</v>
      </c>
      <c r="E8" s="15">
        <v>-0.33200000000000002</v>
      </c>
      <c r="F8" s="15">
        <v>-8.3000000000000004E-2</v>
      </c>
      <c r="G8" s="15"/>
      <c r="H8" s="15"/>
      <c r="I8" s="15"/>
      <c r="J8" s="15"/>
    </row>
    <row r="9" spans="1:11" x14ac:dyDescent="0.4">
      <c r="A9" s="4" t="s">
        <v>69</v>
      </c>
      <c r="C9" s="7">
        <v>0.10988130588450989</v>
      </c>
      <c r="D9" s="7">
        <v>0.15488130588450991</v>
      </c>
      <c r="E9" s="7">
        <v>6.4881305884509896E-2</v>
      </c>
      <c r="F9" s="7">
        <v>0.05</v>
      </c>
      <c r="G9" s="7"/>
      <c r="H9" s="7"/>
      <c r="I9" s="7"/>
      <c r="J9" s="7"/>
    </row>
    <row r="10" spans="1:11" x14ac:dyDescent="0.4">
      <c r="A10" s="4" t="s">
        <v>70</v>
      </c>
      <c r="C10" s="7">
        <v>9.8000000000000004E-2</v>
      </c>
      <c r="D10" s="7">
        <v>8.9999999999999993E-3</v>
      </c>
      <c r="E10" s="7">
        <v>3.0000000000000001E-3</v>
      </c>
      <c r="F10" s="7">
        <v>5.1999999999999998E-2</v>
      </c>
      <c r="G10" s="7"/>
      <c r="H10" s="7"/>
      <c r="I10" s="7"/>
      <c r="J10" s="7"/>
    </row>
    <row r="11" spans="1:11" x14ac:dyDescent="0.4">
      <c r="A11" s="4" t="s">
        <v>71</v>
      </c>
      <c r="C11" s="7">
        <v>7.4999999999999997E-2</v>
      </c>
      <c r="D11" s="7">
        <v>1.4E-2</v>
      </c>
      <c r="E11" s="7">
        <v>2.4E-2</v>
      </c>
      <c r="F11" s="7">
        <v>5.6000000000000001E-2</v>
      </c>
      <c r="G11" s="7"/>
      <c r="H11" s="7"/>
      <c r="I11" s="7"/>
      <c r="J11" s="7"/>
    </row>
    <row r="12" spans="1:11" x14ac:dyDescent="0.4">
      <c r="A12" s="4" t="s">
        <v>72</v>
      </c>
      <c r="C12" s="7">
        <v>2.3E-2</v>
      </c>
      <c r="D12" s="7">
        <v>0</v>
      </c>
      <c r="E12" s="7">
        <v>0</v>
      </c>
      <c r="F12" s="7">
        <v>0</v>
      </c>
      <c r="G12" s="7"/>
      <c r="H12" s="7"/>
      <c r="I12" s="7"/>
      <c r="J12" s="7"/>
    </row>
    <row r="13" spans="1:11" x14ac:dyDescent="0.4">
      <c r="A13" s="4" t="s">
        <v>73</v>
      </c>
      <c r="C13" s="7">
        <v>1.872032647112748E-2</v>
      </c>
      <c r="D13" s="7">
        <v>3.7203264711274751E-3</v>
      </c>
      <c r="E13" s="7">
        <v>1.372032647112748E-2</v>
      </c>
      <c r="F13" s="7">
        <v>1.372032647112748E-2</v>
      </c>
      <c r="G13" s="7"/>
      <c r="H13" s="7"/>
      <c r="I13" s="7"/>
      <c r="J13" s="7"/>
    </row>
    <row r="14" spans="1:11" x14ac:dyDescent="0.4">
      <c r="A14" s="4" t="s">
        <v>74</v>
      </c>
      <c r="C14" s="9">
        <v>1.0149999999999999</v>
      </c>
      <c r="D14" s="9">
        <v>1.06575</v>
      </c>
      <c r="E14" s="9">
        <v>1.0149999999999999</v>
      </c>
      <c r="F14" s="9">
        <v>1.0149999999999999</v>
      </c>
      <c r="G14" s="9"/>
      <c r="H14" s="9"/>
      <c r="I14" s="9"/>
      <c r="J14" s="9"/>
    </row>
    <row r="15" spans="1:11" x14ac:dyDescent="0.4">
      <c r="A15" s="4" t="s">
        <v>75</v>
      </c>
      <c r="C15" s="7">
        <v>0</v>
      </c>
      <c r="D15" s="7">
        <v>0</v>
      </c>
      <c r="E15" s="7">
        <v>0</v>
      </c>
      <c r="F15" s="7">
        <v>0</v>
      </c>
      <c r="G15" s="7"/>
      <c r="H15" s="7"/>
      <c r="I15" s="7"/>
      <c r="J15" s="7"/>
    </row>
    <row r="16" spans="1:11" x14ac:dyDescent="0.4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9.9308574608679395E-2</v>
      </c>
      <c r="D16" s="11">
        <f>MAX((MAX(Inputs!B18+((1-0.33)*D14*(1+(1-Inputs!B22)*Inputs!B21)+0.33)*Inputs!B19+IF(ISBLANK(D17),Inputs!B24,D17)+Inputs!B25+Inputs!B39,MIN(Inputs!B27,0.08)+0.025))*Inputs!B29+Inputs!B28*Inputs!B30,D15)</f>
        <v>0.10105245599692068</v>
      </c>
      <c r="E16" s="11">
        <f>MAX((MAX(Inputs!B18+((1-0.33)*E14*(1+(1-Inputs!B22)*Inputs!B21)+0.33)*Inputs!B19+IF(ISBLANK(E17),Inputs!B24,E17)+Inputs!B25+Inputs!B39,MIN(Inputs!B27,0.08)+0.025))*Inputs!B29+Inputs!B28*Inputs!B30,E15)</f>
        <v>9.9308574608679395E-2</v>
      </c>
      <c r="F16" s="11">
        <f>MAX((MAX(Inputs!B18+((1-0.33)*F14*(1+(1-Inputs!B22)*Inputs!B21)+0.33)*Inputs!B19+IF(ISBLANK(F17),Inputs!B24,F17)+Inputs!B25+Inputs!B39,MIN(Inputs!B27,0.08)+0.025))*Inputs!B29+Inputs!B28*Inputs!B30,F15)</f>
        <v>9.9308574608679395E-2</v>
      </c>
      <c r="G16" s="11">
        <f>MAX((MAX(Inputs!B18+((1-0.33)*G14*(1+(1-Inputs!B22)*Inputs!B21)+0.33)*Inputs!B19+IF(ISBLANK(G17),Inputs!B24,G17)+Inputs!B25+Inputs!B39,MIN(Inputs!B27,0.08)+0.025))*Inputs!B29+Inputs!B28*Inputs!B30,G15)</f>
        <v>6.7873421926910302E-2</v>
      </c>
      <c r="H16" s="11">
        <f>MAX((MAX(Inputs!B18+((1-0.33)*H14*(1+(1-Inputs!B22)*Inputs!B21)+0.33)*Inputs!B19+IF(ISBLANK(H17),Inputs!B24,H17)+Inputs!B25+Inputs!B39,MIN(Inputs!B27,0.08)+0.025))*Inputs!B29+Inputs!B28*Inputs!B30,H15)</f>
        <v>6.7873421926910302E-2</v>
      </c>
      <c r="I16" s="11">
        <f>MAX((MAX(Inputs!B18+((1-0.33)*I14*(1+(1-Inputs!B22)*Inputs!B21)+0.33)*Inputs!B19+IF(ISBLANK(I17),Inputs!B24,I17)+Inputs!B25+Inputs!B39,MIN(Inputs!B27,0.08)+0.025))*Inputs!B29+Inputs!B28*Inputs!B30,I15)</f>
        <v>6.7873421926910302E-2</v>
      </c>
      <c r="J16" s="11">
        <f>MAX((MAX(Inputs!B18+((1-0.33)*J14*(1+(1-Inputs!B22)*Inputs!B21)+0.33)*Inputs!B19+IF(ISBLANK(J17),Inputs!B24,J17)+Inputs!B25+Inputs!B39,MIN(Inputs!B27,0.08)+0.025))*Inputs!B29+Inputs!B28*Inputs!B30,J15)</f>
        <v>6.7873421926910302E-2</v>
      </c>
    </row>
    <row r="17" spans="1:10" x14ac:dyDescent="0.4">
      <c r="A17" s="16" t="s">
        <v>77</v>
      </c>
      <c r="C17" s="7"/>
      <c r="D17" s="7"/>
      <c r="E17" s="7"/>
      <c r="F17" s="7"/>
      <c r="G17" s="7"/>
      <c r="H17" s="7"/>
      <c r="I17" s="7"/>
      <c r="J17" s="7"/>
    </row>
    <row r="18" spans="1:10" ht="40" customHeight="1" x14ac:dyDescent="0.4">
      <c r="A18" s="17" t="s">
        <v>78</v>
      </c>
      <c r="C18" s="18" t="s">
        <v>79</v>
      </c>
      <c r="D18" s="18" t="s">
        <v>80</v>
      </c>
      <c r="E18" s="18" t="s">
        <v>81</v>
      </c>
      <c r="F18" s="18" t="s">
        <v>82</v>
      </c>
      <c r="G18" s="18"/>
      <c r="H18" s="18"/>
      <c r="I18" s="18"/>
      <c r="J18" s="18"/>
    </row>
    <row r="19" spans="1:10" ht="40" customHeight="1" x14ac:dyDescent="0.4">
      <c r="A19" s="17" t="s">
        <v>83</v>
      </c>
      <c r="C19" s="18" t="s">
        <v>84</v>
      </c>
      <c r="D19" s="18" t="s">
        <v>85</v>
      </c>
      <c r="E19" s="18" t="s">
        <v>86</v>
      </c>
      <c r="F19" s="18" t="s">
        <v>87</v>
      </c>
      <c r="G19" s="18"/>
      <c r="H19" s="18"/>
      <c r="I19" s="18"/>
      <c r="J19" s="18"/>
    </row>
    <row r="20" spans="1:10" ht="28" customHeight="1" x14ac:dyDescent="0.4">
      <c r="A20" s="17" t="s">
        <v>88</v>
      </c>
      <c r="C20" s="18" t="s">
        <v>89</v>
      </c>
      <c r="D20" s="18" t="s">
        <v>90</v>
      </c>
      <c r="E20" s="18" t="s">
        <v>91</v>
      </c>
      <c r="F20" s="18" t="s">
        <v>92</v>
      </c>
      <c r="G20" s="18"/>
      <c r="H20" s="18"/>
      <c r="I20" s="18"/>
      <c r="J20" s="18"/>
    </row>
    <row r="21" spans="1:10" x14ac:dyDescent="0.4">
      <c r="A21" s="4" t="s">
        <v>93</v>
      </c>
      <c r="C21" s="6">
        <f t="shared" ref="C21:J21" si="0">C5*(1+C6)^1</f>
        <v>437.87700000000001</v>
      </c>
      <c r="D21" s="6">
        <f t="shared" si="0"/>
        <v>130.29097838183137</v>
      </c>
      <c r="E21" s="6">
        <f t="shared" si="0"/>
        <v>139.27323209361873</v>
      </c>
      <c r="F21" s="6">
        <f t="shared" si="0"/>
        <v>109.38180021347021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4">
      <c r="A22" s="4" t="s">
        <v>94</v>
      </c>
      <c r="C22" s="6">
        <f t="shared" ref="C22:J22" si="1">C5*(1+C6)^2</f>
        <v>433.49822999999998</v>
      </c>
      <c r="D22" s="6">
        <f t="shared" si="1"/>
        <v>129.68479028032735</v>
      </c>
      <c r="E22" s="6">
        <f t="shared" si="1"/>
        <v>130.2688594882672</v>
      </c>
      <c r="F22" s="6">
        <f t="shared" si="1"/>
        <v>109.96671156194405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4">
      <c r="A23" s="4" t="s">
        <v>95</v>
      </c>
      <c r="C23" s="6">
        <f t="shared" ref="C23:J23" si="2">C5*(1+C6)^3</f>
        <v>429.1632477</v>
      </c>
      <c r="D23" s="6">
        <f t="shared" si="2"/>
        <v>129.08142251234887</v>
      </c>
      <c r="E23" s="6">
        <f t="shared" si="2"/>
        <v>121.84664272720244</v>
      </c>
      <c r="F23" s="6">
        <f t="shared" si="2"/>
        <v>110.5547506819933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4">
      <c r="A24" s="4" t="s">
        <v>96</v>
      </c>
      <c r="C24" s="6">
        <f t="shared" ref="C24:J24" si="3">C5*(1+C6)^4</f>
        <v>424.87161522299999</v>
      </c>
      <c r="D24" s="6">
        <f t="shared" si="3"/>
        <v>128.48086195609233</v>
      </c>
      <c r="E24" s="6">
        <f t="shared" si="3"/>
        <v>113.96894393803831</v>
      </c>
      <c r="F24" s="6">
        <f t="shared" si="3"/>
        <v>111.14593429915257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4">
      <c r="A25" s="4" t="s">
        <v>97</v>
      </c>
      <c r="C25" s="6">
        <f t="shared" ref="C25:J25" si="4">C5*(1+C6)^5</f>
        <v>420.62289907076996</v>
      </c>
      <c r="D25" s="6">
        <f t="shared" si="4"/>
        <v>127.88309555080434</v>
      </c>
      <c r="E25" s="6">
        <f t="shared" si="4"/>
        <v>106.6005586336268</v>
      </c>
      <c r="F25" s="6">
        <f t="shared" si="4"/>
        <v>111.74027922839515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4">
      <c r="A26" s="4" t="s">
        <v>98</v>
      </c>
      <c r="C26" s="7">
        <v>5.0000000000000001E-3</v>
      </c>
      <c r="D26" s="7"/>
      <c r="E26" s="7">
        <v>0.02</v>
      </c>
      <c r="F26" s="7">
        <v>0.02</v>
      </c>
      <c r="G26" s="7"/>
      <c r="H26" s="7"/>
      <c r="I26" s="7"/>
      <c r="J26" s="7"/>
    </row>
    <row r="27" spans="1:10" x14ac:dyDescent="0.4">
      <c r="A27" s="4" t="s">
        <v>99</v>
      </c>
      <c r="C27" s="11">
        <f t="shared" ref="C27:J27" si="5">IF(ISBLANK(C9),C7,C7+(C9-C7)*(0)/4)</f>
        <v>8.8999999999999996E-2</v>
      </c>
      <c r="D27" s="11">
        <f t="shared" si="5"/>
        <v>0.20288130588450989</v>
      </c>
      <c r="E27" s="11">
        <f t="shared" si="5"/>
        <v>4.5881305884509893E-2</v>
      </c>
      <c r="F27" s="11">
        <f t="shared" si="5"/>
        <v>2.58813058845099E-2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4">
      <c r="A28" s="4" t="s">
        <v>100</v>
      </c>
      <c r="C28" s="11">
        <f t="shared" ref="C28:J28" si="6">IF(ISBLANK(C9),C7,C7+(C9-C7)*(1)/4)</f>
        <v>9.4220326471127464E-2</v>
      </c>
      <c r="D28" s="11">
        <f t="shared" si="6"/>
        <v>0.19088130588450991</v>
      </c>
      <c r="E28" s="11">
        <f t="shared" si="6"/>
        <v>5.0631305884509897E-2</v>
      </c>
      <c r="F28" s="11">
        <f t="shared" si="6"/>
        <v>3.1910979413382425E-2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4">
      <c r="A29" s="4" t="s">
        <v>101</v>
      </c>
      <c r="C29" s="11">
        <f t="shared" ref="C29:J29" si="7">IF(ISBLANK(C9),C7,C7+(C9-C7)*(2)/4)</f>
        <v>9.9440652942254945E-2</v>
      </c>
      <c r="D29" s="11">
        <f t="shared" si="7"/>
        <v>0.1788813058845099</v>
      </c>
      <c r="E29" s="11">
        <f t="shared" si="7"/>
        <v>5.5381305884509895E-2</v>
      </c>
      <c r="F29" s="11">
        <f t="shared" si="7"/>
        <v>3.7940652942254953E-2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4">
      <c r="A30" s="4" t="s">
        <v>102</v>
      </c>
      <c r="C30" s="11">
        <f t="shared" ref="C30:J30" si="8">IF(ISBLANK(C9),C7,C7+(C9-C7)*(3)/4)</f>
        <v>0.10466097941338243</v>
      </c>
      <c r="D30" s="11">
        <f t="shared" si="8"/>
        <v>0.16688130588450989</v>
      </c>
      <c r="E30" s="11">
        <f t="shared" si="8"/>
        <v>6.0131305884509892E-2</v>
      </c>
      <c r="F30" s="11">
        <f t="shared" si="8"/>
        <v>4.3970326471127474E-2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4">
      <c r="A31" s="4" t="s">
        <v>103</v>
      </c>
      <c r="C31" s="11">
        <f t="shared" ref="C31:J31" si="9">IF(ISBLANK(C9),C7,C7+(C9-C7)*(4)/4)</f>
        <v>0.10988130588450989</v>
      </c>
      <c r="D31" s="11">
        <f t="shared" si="9"/>
        <v>0.15488130588450991</v>
      </c>
      <c r="E31" s="11">
        <f t="shared" si="9"/>
        <v>6.4881305884509896E-2</v>
      </c>
      <c r="F31" s="11">
        <f t="shared" si="9"/>
        <v>0.05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4">
      <c r="A33" s="4" t="s">
        <v>104</v>
      </c>
      <c r="C33" s="6">
        <f t="shared" ref="C33:J37" si="10">C21*C27</f>
        <v>38.971052999999998</v>
      </c>
      <c r="D33" s="6">
        <f t="shared" si="10"/>
        <v>26.433603839076394</v>
      </c>
      <c r="E33" s="6">
        <f t="shared" si="10"/>
        <v>6.3900377632116614</v>
      </c>
      <c r="F33" s="6">
        <f t="shared" si="10"/>
        <v>2.8309438295231728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4">
      <c r="A34" s="4" t="s">
        <v>105</v>
      </c>
      <c r="C34" s="6">
        <f t="shared" si="10"/>
        <v>40.844344755255896</v>
      </c>
      <c r="D34" s="6">
        <f t="shared" si="10"/>
        <v>24.754402122067681</v>
      </c>
      <c r="E34" s="6">
        <f t="shared" si="10"/>
        <v>6.595682471976696</v>
      </c>
      <c r="F34" s="6">
        <f t="shared" si="10"/>
        <v>3.5091454688105599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4">
      <c r="A35" s="4" t="s">
        <v>106</v>
      </c>
      <c r="C35" s="6">
        <f t="shared" si="10"/>
        <v>42.676273570106694</v>
      </c>
      <c r="D35" s="6">
        <f t="shared" si="10"/>
        <v>23.09025342443914</v>
      </c>
      <c r="E35" s="6">
        <f t="shared" si="10"/>
        <v>6.7480261918757911</v>
      </c>
      <c r="F35" s="6">
        <f t="shared" si="10"/>
        <v>4.1945194267430317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4">
      <c r="A36" s="4" t="s">
        <v>107</v>
      </c>
      <c r="C36" s="6">
        <f t="shared" si="10"/>
        <v>44.46747937418494</v>
      </c>
      <c r="D36" s="6">
        <f t="shared" si="10"/>
        <v>21.441054024400135</v>
      </c>
      <c r="E36" s="6">
        <f t="shared" si="10"/>
        <v>6.8531014292727406</v>
      </c>
      <c r="F36" s="6">
        <f t="shared" si="10"/>
        <v>4.8871230170722235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4">
      <c r="A37" s="4" t="s">
        <v>108</v>
      </c>
      <c r="C37" s="6">
        <f t="shared" si="10"/>
        <v>46.218593434824605</v>
      </c>
      <c r="D37" s="6">
        <f t="shared" si="10"/>
        <v>19.806700839462135</v>
      </c>
      <c r="E37" s="6">
        <f t="shared" si="10"/>
        <v>6.916383452167973</v>
      </c>
      <c r="F37" s="6">
        <f t="shared" si="10"/>
        <v>5.5870139614197578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4">
      <c r="A39" s="4" t="s">
        <v>109</v>
      </c>
      <c r="C39" s="6">
        <f>C33*(1-Inputs!B22)</f>
        <v>27.279737099999998</v>
      </c>
      <c r="D39" s="6">
        <f>D33*(1-Inputs!B22)</f>
        <v>18.503522687353474</v>
      </c>
      <c r="E39" s="6">
        <f>E33*(1-Inputs!B22)</f>
        <v>4.4730264342481627</v>
      </c>
      <c r="F39" s="6">
        <f>F33*(1-Inputs!B22)</f>
        <v>1.9816606806662209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4">
      <c r="A40" s="4" t="s">
        <v>110</v>
      </c>
      <c r="C40" s="6">
        <f>C34*(1-Inputs!B22)</f>
        <v>28.591041328679125</v>
      </c>
      <c r="D40" s="6">
        <f>D34*(1-Inputs!B22)</f>
        <v>17.328081485447374</v>
      </c>
      <c r="E40" s="6">
        <f>E34*(1-Inputs!B22)</f>
        <v>4.6169777303836872</v>
      </c>
      <c r="F40" s="6">
        <f>F34*(1-Inputs!B22)</f>
        <v>2.4564018281673916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4">
      <c r="A41" s="4" t="s">
        <v>111</v>
      </c>
      <c r="C41" s="6">
        <f>C35*(1-Inputs!B22)</f>
        <v>29.873391499074685</v>
      </c>
      <c r="D41" s="6">
        <f>D35*(1-Inputs!B22)</f>
        <v>16.163177397107397</v>
      </c>
      <c r="E41" s="6">
        <f>E35*(1-Inputs!B22)</f>
        <v>4.7236183343130538</v>
      </c>
      <c r="F41" s="6">
        <f>F35*(1-Inputs!B22)</f>
        <v>2.936163598720122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4">
      <c r="A42" s="4" t="s">
        <v>112</v>
      </c>
      <c r="C42" s="6">
        <f>C36*(1-Inputs!B22)</f>
        <v>31.127235561929457</v>
      </c>
      <c r="D42" s="6">
        <f>D36*(1-Inputs!B22)</f>
        <v>15.008737817080092</v>
      </c>
      <c r="E42" s="6">
        <f>E36*(1-Inputs!B22)</f>
        <v>4.797171000490918</v>
      </c>
      <c r="F42" s="6">
        <f>F36*(1-Inputs!B22)</f>
        <v>3.4209861119505565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4">
      <c r="A43" s="4" t="s">
        <v>113</v>
      </c>
      <c r="C43" s="6">
        <f>C37*(1-Inputs!B22)</f>
        <v>32.353015404377224</v>
      </c>
      <c r="D43" s="6">
        <f>D37*(1-Inputs!B22)</f>
        <v>13.864690587623494</v>
      </c>
      <c r="E43" s="6">
        <f>E37*(1-Inputs!B22)</f>
        <v>4.8414684165175812</v>
      </c>
      <c r="F43" s="6">
        <f>F37*(1-Inputs!B22)</f>
        <v>3.91090977299383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4">
      <c r="A45" s="4" t="s">
        <v>114</v>
      </c>
      <c r="C45" s="6">
        <f t="shared" ref="C45:J45" si="11">C21*IF(ISBLANK(C26),C12,C12+(C26-C12)*(0)/4)</f>
        <v>10.071171</v>
      </c>
      <c r="D45" s="6">
        <f t="shared" si="11"/>
        <v>0</v>
      </c>
      <c r="E45" s="6">
        <f t="shared" si="11"/>
        <v>0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4">
      <c r="A46" s="4" t="s">
        <v>115</v>
      </c>
      <c r="C46" s="6">
        <f t="shared" ref="C46:J46" si="12">C22*IF(ISBLANK(C26),C12,C12+(C26-C12)*(1)/4)</f>
        <v>8.0197172549999998</v>
      </c>
      <c r="D46" s="6">
        <f t="shared" si="12"/>
        <v>0</v>
      </c>
      <c r="E46" s="6">
        <f t="shared" si="12"/>
        <v>0.65134429744133604</v>
      </c>
      <c r="F46" s="6">
        <f t="shared" si="12"/>
        <v>0.54983355780972032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4">
      <c r="A47" s="4" t="s">
        <v>116</v>
      </c>
      <c r="C47" s="6">
        <f t="shared" ref="C47:J47" si="13">C23*IF(ISBLANK(C26),C12,C12+(C26-C12)*(2)/4)</f>
        <v>6.0082854678000004</v>
      </c>
      <c r="D47" s="6">
        <f t="shared" si="13"/>
        <v>0</v>
      </c>
      <c r="E47" s="6">
        <f t="shared" si="13"/>
        <v>1.2184664272720245</v>
      </c>
      <c r="F47" s="6">
        <f t="shared" si="13"/>
        <v>1.105547506819933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4">
      <c r="A48" s="4" t="s">
        <v>117</v>
      </c>
      <c r="C48" s="6">
        <f t="shared" ref="C48:J48" si="14">C24*IF(ISBLANK(C26),C12,C12+(C26-C12)*(3)/4)</f>
        <v>4.0362803446185005</v>
      </c>
      <c r="D48" s="6">
        <f t="shared" si="14"/>
        <v>0</v>
      </c>
      <c r="E48" s="6">
        <f t="shared" si="14"/>
        <v>1.7095341590705746</v>
      </c>
      <c r="F48" s="6">
        <f t="shared" si="14"/>
        <v>1.6671890144872885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4">
      <c r="A49" s="4" t="s">
        <v>118</v>
      </c>
      <c r="C49" s="6">
        <f t="shared" ref="C49:J49" si="15">C25*IF(ISBLANK(C26),C12,C12+(C26-C12)*(4)/4)</f>
        <v>2.1031144953538501</v>
      </c>
      <c r="D49" s="6">
        <f t="shared" si="15"/>
        <v>0</v>
      </c>
      <c r="E49" s="6">
        <f t="shared" si="15"/>
        <v>2.1320111726725361</v>
      </c>
      <c r="F49" s="6">
        <f t="shared" si="15"/>
        <v>2.2348055845679031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4">
      <c r="A51" s="4" t="s">
        <v>119</v>
      </c>
      <c r="C51" s="6">
        <f t="shared" ref="C51:J55" si="16">C39-C45</f>
        <v>17.208566099999999</v>
      </c>
      <c r="D51" s="6">
        <f t="shared" si="16"/>
        <v>18.503522687353474</v>
      </c>
      <c r="E51" s="6">
        <f t="shared" si="16"/>
        <v>4.4730264342481627</v>
      </c>
      <c r="F51" s="6">
        <f t="shared" si="16"/>
        <v>1.9816606806662209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4">
      <c r="A52" s="4" t="s">
        <v>120</v>
      </c>
      <c r="C52" s="6">
        <f t="shared" si="16"/>
        <v>20.571324073679126</v>
      </c>
      <c r="D52" s="6">
        <f t="shared" si="16"/>
        <v>17.328081485447374</v>
      </c>
      <c r="E52" s="6">
        <f t="shared" si="16"/>
        <v>3.9656334329423513</v>
      </c>
      <c r="F52" s="6">
        <f t="shared" si="16"/>
        <v>1.9065682703576714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4">
      <c r="A53" s="4" t="s">
        <v>121</v>
      </c>
      <c r="C53" s="6">
        <f t="shared" si="16"/>
        <v>23.865106031274685</v>
      </c>
      <c r="D53" s="6">
        <f t="shared" si="16"/>
        <v>16.163177397107397</v>
      </c>
      <c r="E53" s="6">
        <f t="shared" si="16"/>
        <v>3.5051519070410295</v>
      </c>
      <c r="F53" s="6">
        <f t="shared" si="16"/>
        <v>1.830616091900189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4">
      <c r="A54" s="4" t="s">
        <v>122</v>
      </c>
      <c r="C54" s="6">
        <f t="shared" si="16"/>
        <v>27.090955217310956</v>
      </c>
      <c r="D54" s="6">
        <f t="shared" si="16"/>
        <v>15.008737817080092</v>
      </c>
      <c r="E54" s="6">
        <f t="shared" si="16"/>
        <v>3.0876368414203434</v>
      </c>
      <c r="F54" s="6">
        <f t="shared" si="16"/>
        <v>1.753797097463268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4">
      <c r="A55" s="4" t="s">
        <v>123</v>
      </c>
      <c r="C55" s="6">
        <f t="shared" si="16"/>
        <v>30.249900909023374</v>
      </c>
      <c r="D55" s="6">
        <f t="shared" si="16"/>
        <v>13.864690587623494</v>
      </c>
      <c r="E55" s="6">
        <f t="shared" si="16"/>
        <v>2.709457243845045</v>
      </c>
      <c r="F55" s="6">
        <f t="shared" si="16"/>
        <v>1.6761041884259269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4">
      <c r="A57" s="4" t="s">
        <v>124</v>
      </c>
      <c r="C57" s="6">
        <f t="shared" ref="C57:J57" si="17">C51/((1+C16))</f>
        <v>15.653990605982244</v>
      </c>
      <c r="D57" s="6">
        <f t="shared" si="17"/>
        <v>16.805305311816337</v>
      </c>
      <c r="E57" s="6">
        <f t="shared" si="17"/>
        <v>4.0689452784814533</v>
      </c>
      <c r="F57" s="6">
        <f t="shared" si="17"/>
        <v>1.8026427942414913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4">
      <c r="A58" s="4" t="s">
        <v>125</v>
      </c>
      <c r="C58" s="6">
        <f t="shared" ref="C58:J58" si="18">C52/((1+C16)*(1+C16+(C104-C16)*1/5))</f>
        <v>17.033786006563716</v>
      </c>
      <c r="D58" s="6">
        <f t="shared" si="18"/>
        <v>14.307371690000894</v>
      </c>
      <c r="E58" s="6">
        <f t="shared" si="18"/>
        <v>3.2836851451698297</v>
      </c>
      <c r="F58" s="6">
        <f t="shared" si="18"/>
        <v>1.5787061546383305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4">
      <c r="A59" s="4" t="s">
        <v>126</v>
      </c>
      <c r="C59" s="6">
        <f t="shared" ref="C59:J59" si="19">C53/((1+C16)*(1+C16+(C104-C16)*1/5)*(1+C16+(C104-C16)*2/5))</f>
        <v>17.999864217083687</v>
      </c>
      <c r="D59" s="6">
        <f t="shared" si="19"/>
        <v>12.144491109380944</v>
      </c>
      <c r="E59" s="6">
        <f t="shared" si="19"/>
        <v>2.6437032504406011</v>
      </c>
      <c r="F59" s="6">
        <f t="shared" si="19"/>
        <v>1.3807121177098673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4">
      <c r="A60" s="4" t="s">
        <v>127</v>
      </c>
      <c r="C60" s="6">
        <f t="shared" ref="C60:J60" si="20">C54/((1+C16)*(1+C16+(C104-C16)*1/5)*(1+C16+(C104-C16)*2/5)*(1+C16+(C104-C16)*3/5))</f>
        <v>18.624115389936495</v>
      </c>
      <c r="D60" s="6">
        <f t="shared" si="20"/>
        <v>10.272264408823167</v>
      </c>
      <c r="E60" s="6">
        <f t="shared" si="20"/>
        <v>2.1226458925334053</v>
      </c>
      <c r="F60" s="6">
        <f t="shared" si="20"/>
        <v>1.2056761842351058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4">
      <c r="A61" s="4" t="s">
        <v>128</v>
      </c>
      <c r="C61" s="6">
        <f t="shared" ref="C61:J61" si="21">C55/((1+C16)*(1+C16+(C104-C16)*1/5)*(1+C16+(C104-C16)*2/5)*(1+C16+(C104-C16)*3/5)*(1+C16+(C104-C16)*4/5))</f>
        <v>18.967474684858857</v>
      </c>
      <c r="D61" s="6">
        <f t="shared" si="21"/>
        <v>8.6522346543746362</v>
      </c>
      <c r="E61" s="6">
        <f t="shared" si="21"/>
        <v>1.698900166215372</v>
      </c>
      <c r="F61" s="6">
        <f t="shared" si="21"/>
        <v>1.0509609224429377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4">
      <c r="A62" s="3" t="s">
        <v>129</v>
      </c>
    </row>
    <row r="63" spans="1:10" x14ac:dyDescent="0.4">
      <c r="A63" s="4" t="s">
        <v>130</v>
      </c>
      <c r="C63" s="6">
        <f t="shared" ref="C63:J63" si="22">C25*(1+(C6+(C13-C6)*1/5))</f>
        <v>418.83275547657121</v>
      </c>
      <c r="D63" s="6">
        <f t="shared" si="22"/>
        <v>127.50226072047636</v>
      </c>
      <c r="E63" s="6">
        <f t="shared" si="22"/>
        <v>101.37947732997272</v>
      </c>
      <c r="F63" s="6">
        <f t="shared" si="22"/>
        <v>112.52492036756567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4">
      <c r="A64" s="4" t="s">
        <v>131</v>
      </c>
      <c r="C64" s="6">
        <f t="shared" ref="C64:J64" si="23">C63*(1+(C6+(C13-C6)*2/5))</f>
        <v>419.45603331144116</v>
      </c>
      <c r="D64" s="6">
        <f t="shared" si="23"/>
        <v>127.33607269894912</v>
      </c>
      <c r="E64" s="6">
        <f t="shared" si="23"/>
        <v>98.00319479242539</v>
      </c>
      <c r="F64" s="6">
        <f t="shared" si="23"/>
        <v>113.50350320012973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4">
      <c r="A65" s="4" t="s">
        <v>132</v>
      </c>
      <c r="C65" s="6">
        <f t="shared" ref="C65:J65" si="24">C64*(1+(C6+(C13-C6)*3/5))</f>
        <v>422.48962150851997</v>
      </c>
      <c r="D65" s="6">
        <f t="shared" si="24"/>
        <v>127.38333567960807</v>
      </c>
      <c r="E65" s="6">
        <f t="shared" si="24"/>
        <v>96.275512863025497</v>
      </c>
      <c r="F65" s="6">
        <f t="shared" si="24"/>
        <v>114.68066701592942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4">
      <c r="A66" s="4" t="s">
        <v>133</v>
      </c>
      <c r="C66" s="6">
        <f t="shared" ref="C66:J66" si="25">C65*(1+(C6+(C13-C6)*4/5))</f>
        <v>427.97195718174498</v>
      </c>
      <c r="D66" s="6">
        <f t="shared" si="25"/>
        <v>127.64392973902763</v>
      </c>
      <c r="E66" s="6">
        <f t="shared" si="25"/>
        <v>96.087366140037872</v>
      </c>
      <c r="F66" s="6">
        <f t="shared" si="25"/>
        <v>116.06208130093239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4">
      <c r="A67" s="4" t="s">
        <v>134</v>
      </c>
      <c r="C67" s="6">
        <f t="shared" ref="C67:J67" si="26">C66*(1+(C6+(C13-C6)*5/5))</f>
        <v>435.98373194067466</v>
      </c>
      <c r="D67" s="6">
        <f t="shared" si="26"/>
        <v>128.11880682971446</v>
      </c>
      <c r="E67" s="6">
        <f t="shared" si="26"/>
        <v>97.405716173229948</v>
      </c>
      <c r="F67" s="6">
        <f t="shared" si="26"/>
        <v>117.65449094729972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4">
      <c r="A69" s="4" t="s">
        <v>135</v>
      </c>
      <c r="C69" s="11">
        <f t="shared" ref="C69:J69" si="27">IF(ISBLANK(C9),C7,C9)</f>
        <v>0.10988130588450989</v>
      </c>
      <c r="D69" s="11">
        <f t="shared" si="27"/>
        <v>0.15488130588450991</v>
      </c>
      <c r="E69" s="11">
        <f t="shared" si="27"/>
        <v>6.4881305884509896E-2</v>
      </c>
      <c r="F69" s="11">
        <f t="shared" si="27"/>
        <v>0.05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4">
      <c r="A70" s="4" t="s">
        <v>136</v>
      </c>
      <c r="C70" s="11">
        <f t="shared" ref="C70:J70" si="28">IF(ISBLANK(C9),C7,C9)</f>
        <v>0.10988130588450989</v>
      </c>
      <c r="D70" s="11">
        <f t="shared" si="28"/>
        <v>0.15488130588450991</v>
      </c>
      <c r="E70" s="11">
        <f t="shared" si="28"/>
        <v>6.4881305884509896E-2</v>
      </c>
      <c r="F70" s="11">
        <f t="shared" si="28"/>
        <v>0.05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4">
      <c r="A71" s="4" t="s">
        <v>137</v>
      </c>
      <c r="C71" s="11">
        <f t="shared" ref="C71:J71" si="29">IF(ISBLANK(C9),C7,C9)</f>
        <v>0.10988130588450989</v>
      </c>
      <c r="D71" s="11">
        <f t="shared" si="29"/>
        <v>0.15488130588450991</v>
      </c>
      <c r="E71" s="11">
        <f t="shared" si="29"/>
        <v>6.4881305884509896E-2</v>
      </c>
      <c r="F71" s="11">
        <f t="shared" si="29"/>
        <v>0.05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4">
      <c r="A72" s="4" t="s">
        <v>138</v>
      </c>
      <c r="C72" s="11">
        <f t="shared" ref="C72:J72" si="30">IF(ISBLANK(C9),C7,C9)</f>
        <v>0.10988130588450989</v>
      </c>
      <c r="D72" s="11">
        <f t="shared" si="30"/>
        <v>0.15488130588450991</v>
      </c>
      <c r="E72" s="11">
        <f t="shared" si="30"/>
        <v>6.4881305884509896E-2</v>
      </c>
      <c r="F72" s="11">
        <f t="shared" si="30"/>
        <v>0.05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4">
      <c r="A73" s="4" t="s">
        <v>139</v>
      </c>
      <c r="C73" s="11">
        <f t="shared" ref="C73:J73" si="31">IF(ISBLANK(C9),C7,C9)</f>
        <v>0.10988130588450989</v>
      </c>
      <c r="D73" s="11">
        <f t="shared" si="31"/>
        <v>0.15488130588450991</v>
      </c>
      <c r="E73" s="11">
        <f t="shared" si="31"/>
        <v>6.4881305884509896E-2</v>
      </c>
      <c r="F73" s="11">
        <f t="shared" si="31"/>
        <v>0.05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4">
      <c r="A75" s="4" t="s">
        <v>140</v>
      </c>
      <c r="C75" s="6">
        <f t="shared" ref="C75:J79" si="32">C63*C69</f>
        <v>46.021890118973261</v>
      </c>
      <c r="D75" s="6">
        <f t="shared" si="32"/>
        <v>19.747716643614631</v>
      </c>
      <c r="E75" s="6">
        <f t="shared" si="32"/>
        <v>6.5776328790576963</v>
      </c>
      <c r="F75" s="6">
        <f t="shared" si="32"/>
        <v>5.6262460183782839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4">
      <c r="A76" s="4" t="s">
        <v>141</v>
      </c>
      <c r="C76" s="6">
        <f t="shared" si="32"/>
        <v>46.090376701397638</v>
      </c>
      <c r="D76" s="6">
        <f t="shared" si="32"/>
        <v>19.721977225818129</v>
      </c>
      <c r="E76" s="6">
        <f t="shared" si="32"/>
        <v>6.3585752589865594</v>
      </c>
      <c r="F76" s="6">
        <f t="shared" si="32"/>
        <v>5.6751751600064866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4">
      <c r="A77" s="4" t="s">
        <v>142</v>
      </c>
      <c r="C77" s="6">
        <f t="shared" si="32"/>
        <v>46.423711334008495</v>
      </c>
      <c r="D77" s="6">
        <f t="shared" si="32"/>
        <v>19.729297377982583</v>
      </c>
      <c r="E77" s="6">
        <f t="shared" si="32"/>
        <v>6.2464809992540244</v>
      </c>
      <c r="F77" s="6">
        <f t="shared" si="32"/>
        <v>5.7340333507964711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4">
      <c r="A78" s="4" t="s">
        <v>143</v>
      </c>
      <c r="C78" s="6">
        <f t="shared" si="32"/>
        <v>47.026117537079692</v>
      </c>
      <c r="D78" s="6">
        <f t="shared" si="32"/>
        <v>19.769658526211227</v>
      </c>
      <c r="E78" s="6">
        <f t="shared" si="32"/>
        <v>6.2342737941686961</v>
      </c>
      <c r="F78" s="6">
        <f t="shared" si="32"/>
        <v>5.8031040650466199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4">
      <c r="A79" s="4" t="s">
        <v>144</v>
      </c>
      <c r="C79" s="6">
        <f t="shared" si="32"/>
        <v>47.906461810043439</v>
      </c>
      <c r="D79" s="6">
        <f t="shared" si="32"/>
        <v>19.843208110151441</v>
      </c>
      <c r="E79" s="6">
        <f t="shared" si="32"/>
        <v>6.3198100659350853</v>
      </c>
      <c r="F79" s="6">
        <f t="shared" si="32"/>
        <v>5.8827245473649867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4">
      <c r="A81" s="4" t="s">
        <v>145</v>
      </c>
      <c r="C81" s="6">
        <f>C75*(1-Inputs!B22)</f>
        <v>32.215323083281284</v>
      </c>
      <c r="D81" s="6">
        <f>D75*(1-Inputs!B22)</f>
        <v>13.82340165053024</v>
      </c>
      <c r="E81" s="6">
        <f>E75*(1-Inputs!B22)</f>
        <v>4.6043430153403868</v>
      </c>
      <c r="F81" s="6">
        <f>F75*(1-Inputs!B22)</f>
        <v>3.9383722128647984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4">
      <c r="A82" s="4" t="s">
        <v>146</v>
      </c>
      <c r="C82" s="6">
        <f>C76*(1-Inputs!B22)</f>
        <v>32.263263690978341</v>
      </c>
      <c r="D82" s="6">
        <f>D76*(1-Inputs!B22)</f>
        <v>13.80538405807269</v>
      </c>
      <c r="E82" s="6">
        <f>E76*(1-Inputs!B22)</f>
        <v>4.451002681290591</v>
      </c>
      <c r="F82" s="6">
        <f>F76*(1-Inputs!B22)</f>
        <v>3.9726226120045403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4">
      <c r="A83" s="4" t="s">
        <v>147</v>
      </c>
      <c r="C83" s="6">
        <f>C77*(1-Inputs!B22)</f>
        <v>32.496597933805944</v>
      </c>
      <c r="D83" s="6">
        <f>D77*(1-Inputs!B22)</f>
        <v>13.810508164587807</v>
      </c>
      <c r="E83" s="6">
        <f>E77*(1-Inputs!B22)</f>
        <v>4.3725366994778172</v>
      </c>
      <c r="F83" s="6">
        <f>F77*(1-Inputs!B22)</f>
        <v>4.0138233455575296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4">
      <c r="A84" s="4" t="s">
        <v>148</v>
      </c>
      <c r="C84" s="6">
        <f>C78*(1-Inputs!B22)</f>
        <v>32.918282275955782</v>
      </c>
      <c r="D84" s="6">
        <f>D78*(1-Inputs!B22)</f>
        <v>13.838760968347858</v>
      </c>
      <c r="E84" s="6">
        <f>E78*(1-Inputs!B22)</f>
        <v>4.3639916559180874</v>
      </c>
      <c r="F84" s="6">
        <f>F78*(1-Inputs!B22)</f>
        <v>4.0621728455326336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4">
      <c r="A85" s="4" t="s">
        <v>149</v>
      </c>
      <c r="C85" s="6">
        <f>C79*(1-Inputs!B22)</f>
        <v>33.534523267030409</v>
      </c>
      <c r="D85" s="6">
        <f>D79*(1-Inputs!B22)</f>
        <v>13.890245677106007</v>
      </c>
      <c r="E85" s="6">
        <f>E79*(1-Inputs!B22)</f>
        <v>4.4238670461545597</v>
      </c>
      <c r="F85" s="6">
        <f>F79*(1-Inputs!B22)</f>
        <v>4.1179071831554905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4">
      <c r="A87" s="4" t="s">
        <v>150</v>
      </c>
      <c r="C87" s="6">
        <f t="shared" ref="C87:J87" si="33">C63*MAX(IF(ISBLANK(C26),C12,C26),0)</f>
        <v>2.0941637773828559</v>
      </c>
      <c r="D87" s="6">
        <f t="shared" si="33"/>
        <v>0</v>
      </c>
      <c r="E87" s="6">
        <f t="shared" si="33"/>
        <v>2.0275895465994545</v>
      </c>
      <c r="F87" s="6">
        <f t="shared" si="33"/>
        <v>2.2504984073513135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4">
      <c r="A88" s="4" t="s">
        <v>151</v>
      </c>
      <c r="C88" s="6">
        <f t="shared" ref="C88:J88" si="34">C64*MAX(IF(ISBLANK(C26),C12,C26),0)</f>
        <v>2.0972801665572058</v>
      </c>
      <c r="D88" s="6">
        <f t="shared" si="34"/>
        <v>0</v>
      </c>
      <c r="E88" s="6">
        <f t="shared" si="34"/>
        <v>1.9600638958485079</v>
      </c>
      <c r="F88" s="6">
        <f t="shared" si="34"/>
        <v>2.2700700640025948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4">
      <c r="A89" s="4" t="s">
        <v>152</v>
      </c>
      <c r="C89" s="6">
        <f t="shared" ref="C89:J89" si="35">C65*MAX(IF(ISBLANK(C26),C12,C26),0)</f>
        <v>2.1124481075425998</v>
      </c>
      <c r="D89" s="6">
        <f t="shared" si="35"/>
        <v>0</v>
      </c>
      <c r="E89" s="6">
        <f t="shared" si="35"/>
        <v>1.9255102572605101</v>
      </c>
      <c r="F89" s="6">
        <f t="shared" si="35"/>
        <v>2.2936133403185885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4">
      <c r="A90" s="4" t="s">
        <v>153</v>
      </c>
      <c r="C90" s="6">
        <f t="shared" ref="C90:J90" si="36">C66*MAX(IF(ISBLANK(C26),C12,C26),0)</f>
        <v>2.1398597859087252</v>
      </c>
      <c r="D90" s="6">
        <f t="shared" si="36"/>
        <v>0</v>
      </c>
      <c r="E90" s="6">
        <f t="shared" si="36"/>
        <v>1.9217473228007576</v>
      </c>
      <c r="F90" s="6">
        <f t="shared" si="36"/>
        <v>2.3212416260186477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4">
      <c r="A91" s="4" t="s">
        <v>154</v>
      </c>
      <c r="C91" s="6">
        <f t="shared" ref="C91:J91" si="37">C67*MAX(IF(ISBLANK(C26),C12,C26),0)</f>
        <v>2.1799186597033735</v>
      </c>
      <c r="D91" s="6">
        <f t="shared" si="37"/>
        <v>0</v>
      </c>
      <c r="E91" s="6">
        <f t="shared" si="37"/>
        <v>1.948114323464599</v>
      </c>
      <c r="F91" s="6">
        <f t="shared" si="37"/>
        <v>2.3530898189459943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4">
      <c r="A93" s="4" t="s">
        <v>155</v>
      </c>
      <c r="C93" s="6">
        <f t="shared" ref="C93:J97" si="38">C81-C87</f>
        <v>30.121159305898427</v>
      </c>
      <c r="D93" s="6">
        <f t="shared" si="38"/>
        <v>13.82340165053024</v>
      </c>
      <c r="E93" s="6">
        <f t="shared" si="38"/>
        <v>2.5767534687409324</v>
      </c>
      <c r="F93" s="6">
        <f t="shared" si="38"/>
        <v>1.687873805513485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4">
      <c r="A94" s="4" t="s">
        <v>156</v>
      </c>
      <c r="C94" s="6">
        <f t="shared" si="38"/>
        <v>30.165983524421137</v>
      </c>
      <c r="D94" s="6">
        <f t="shared" si="38"/>
        <v>13.80538405807269</v>
      </c>
      <c r="E94" s="6">
        <f t="shared" si="38"/>
        <v>2.4909387854420828</v>
      </c>
      <c r="F94" s="6">
        <f t="shared" si="38"/>
        <v>1.7025525480019454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4">
      <c r="A95" s="4" t="s">
        <v>157</v>
      </c>
      <c r="C95" s="6">
        <f t="shared" si="38"/>
        <v>30.384149826263343</v>
      </c>
      <c r="D95" s="6">
        <f t="shared" si="38"/>
        <v>13.810508164587807</v>
      </c>
      <c r="E95" s="6">
        <f t="shared" si="38"/>
        <v>2.4470264422173074</v>
      </c>
      <c r="F95" s="6">
        <f t="shared" si="38"/>
        <v>1.7202100052389411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4">
      <c r="A96" s="4" t="s">
        <v>158</v>
      </c>
      <c r="C96" s="6">
        <f t="shared" si="38"/>
        <v>30.778422490047056</v>
      </c>
      <c r="D96" s="6">
        <f t="shared" si="38"/>
        <v>13.838760968347858</v>
      </c>
      <c r="E96" s="6">
        <f t="shared" si="38"/>
        <v>2.4422443331173298</v>
      </c>
      <c r="F96" s="6">
        <f t="shared" si="38"/>
        <v>1.7409312195139859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4">
      <c r="A97" s="4" t="s">
        <v>159</v>
      </c>
      <c r="C97" s="6">
        <f t="shared" si="38"/>
        <v>31.354604607327033</v>
      </c>
      <c r="D97" s="6">
        <f t="shared" si="38"/>
        <v>13.890245677106007</v>
      </c>
      <c r="E97" s="6">
        <f t="shared" si="38"/>
        <v>2.4757527226899607</v>
      </c>
      <c r="F97" s="6">
        <f t="shared" si="38"/>
        <v>1.7648173642094962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4">
      <c r="A99" s="4" t="s">
        <v>160</v>
      </c>
      <c r="C99" s="6">
        <f t="shared" ref="C99:J99" si="39">C93/(((1+C16)*(1+C16+(C104-C16)*1/5)*(1+C16+(C104-C16)*2/5)*(1+C16+(C104-C16)*3/5)*(1+C16+(C104-C16)*4/5))*(1+C104)^1)</f>
        <v>17.237742940716526</v>
      </c>
      <c r="D99" s="6">
        <f t="shared" si="39"/>
        <v>7.8732890237558433</v>
      </c>
      <c r="E99" s="6">
        <f t="shared" si="39"/>
        <v>1.4746249792270731</v>
      </c>
      <c r="F99" s="6">
        <f t="shared" si="39"/>
        <v>0.96593675164796555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4">
      <c r="A100" s="4" t="s">
        <v>161</v>
      </c>
      <c r="C100" s="6">
        <f t="shared" ref="C100:J100" si="40">C94/(((1+C16)*(1+C16+(C104-C16)*1/5)*(1+C16+(C104-C16)*2/5)*(1+C16+(C104-C16)*3/5)*(1+C16+(C104-C16)*4/5))*(1+C104)^2)</f>
        <v>15.756123152842687</v>
      </c>
      <c r="D100" s="6">
        <f t="shared" si="40"/>
        <v>7.176503824183059</v>
      </c>
      <c r="E100" s="6">
        <f t="shared" si="40"/>
        <v>1.301052831174712</v>
      </c>
      <c r="F100" s="6">
        <f t="shared" si="40"/>
        <v>0.8892674624312461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4">
      <c r="A101" s="4" t="s">
        <v>162</v>
      </c>
      <c r="C101" s="6">
        <f t="shared" ref="C101:J101" si="41">C95/(((1+C16)*(1+C16+(C104-C16)*1/5)*(1+C16+(C104-C16)*2/5)*(1+C16+(C104-C16)*3/5)*(1+C16+(C104-C16)*4/5))*(1+C104)^3)</f>
        <v>14.484453914644295</v>
      </c>
      <c r="D101" s="6">
        <f t="shared" si="41"/>
        <v>6.5523524015948187</v>
      </c>
      <c r="E101" s="6">
        <f t="shared" si="41"/>
        <v>1.1665240572101101</v>
      </c>
      <c r="F101" s="6">
        <f t="shared" si="41"/>
        <v>0.82004277515958002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4">
      <c r="A102" s="4" t="s">
        <v>163</v>
      </c>
      <c r="C102" s="6">
        <f t="shared" ref="C102:J102" si="42">C96/(((1+C16)*(1+C16+(C104-C16)*1/5)*(1+C16+(C104-C16)*2/5)*(1+C16+(C104-C16)*3/5)*(1+C16+(C104-C16)*4/5))*(1+C104)^4)</f>
        <v>13.391355963058054</v>
      </c>
      <c r="D102" s="6">
        <f t="shared" si="42"/>
        <v>5.9924988042233194</v>
      </c>
      <c r="E102" s="6">
        <f t="shared" si="42"/>
        <v>1.0625938747871639</v>
      </c>
      <c r="F102" s="6">
        <f t="shared" si="42"/>
        <v>0.75746018741706156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4">
      <c r="A103" s="4" t="s">
        <v>164</v>
      </c>
      <c r="C103" s="6">
        <f t="shared" ref="C103:J103" si="43">C97/(((1+C16)*(1+C16+(C104-C16)*1/5)*(1+C16+(C104-C16)*2/5)*(1+C16+(C104-C16)*3/5)*(1+C16+(C104-C16)*4/5))*(1+C104)^5)</f>
        <v>12.450955654171397</v>
      </c>
      <c r="D103" s="6">
        <f t="shared" si="43"/>
        <v>5.4896396240111098</v>
      </c>
      <c r="E103" s="6">
        <f t="shared" si="43"/>
        <v>0.98312473548792279</v>
      </c>
      <c r="F103" s="6">
        <f t="shared" si="43"/>
        <v>0.70081134859373162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4">
      <c r="A104" s="4" t="s">
        <v>165</v>
      </c>
      <c r="C104" s="11">
        <f>MAX((Inputs!B18+((1+(1-Inputs!B22)*(Inputs!B36/(1-Inputs!B36)))/(1+(1-Inputs!B22)*0.25))*Inputs!B19+IF(ISBLANK(C17),Inputs!B24,C17)+Inputs!B25+Inputs!B39)*(1-Inputs!B36)+Inputs!B38*Inputs!B36,C15)</f>
        <v>9.5662605946808518E-2</v>
      </c>
      <c r="D104" s="11">
        <f>MAX((Inputs!B18+((1+(1-Inputs!B22)*(Inputs!B36/(1-Inputs!B36)))/(1+(1-Inputs!B22)*0.25))*Inputs!B19+IF(ISBLANK(D17),Inputs!B24,D17)+Inputs!B25+Inputs!B39)*(1-Inputs!B36)+Inputs!B38*Inputs!B36,D15)</f>
        <v>9.5662605946808518E-2</v>
      </c>
      <c r="E104" s="11">
        <f>MAX((Inputs!B18+((1+(1-Inputs!B22)*(Inputs!B36/(1-Inputs!B36)))/(1+(1-Inputs!B22)*0.25))*Inputs!B19+IF(ISBLANK(E17),Inputs!B24,E17)+Inputs!B25+Inputs!B39)*(1-Inputs!B36)+Inputs!B38*Inputs!B36,E15)</f>
        <v>9.5662605946808518E-2</v>
      </c>
      <c r="F104" s="11">
        <f>MAX((Inputs!B18+((1+(1-Inputs!B22)*(Inputs!B36/(1-Inputs!B36)))/(1+(1-Inputs!B22)*0.25))*Inputs!B19+IF(ISBLANK(F17),Inputs!B24,F17)+Inputs!B25+Inputs!B39)*(1-Inputs!B36)+Inputs!B38*Inputs!B36,F15)</f>
        <v>9.5662605946808518E-2</v>
      </c>
      <c r="G104" s="11">
        <f>MAX((Inputs!B18+((1+(1-Inputs!B22)*(Inputs!B36/(1-Inputs!B36)))/(1+(1-Inputs!B22)*0.25))*Inputs!B19+IF(ISBLANK(G17),Inputs!B24,G17)+Inputs!B25+Inputs!B39)*(1-Inputs!B36)+Inputs!B38*Inputs!B36,G15)</f>
        <v>9.5662605946808518E-2</v>
      </c>
      <c r="H104" s="11">
        <f>MAX((Inputs!B18+((1+(1-Inputs!B22)*(Inputs!B36/(1-Inputs!B36)))/(1+(1-Inputs!B22)*0.25))*Inputs!B19+IF(ISBLANK(H17),Inputs!B24,H17)+Inputs!B25+Inputs!B39)*(1-Inputs!B36)+Inputs!B38*Inputs!B36,H15)</f>
        <v>9.5662605946808518E-2</v>
      </c>
      <c r="I104" s="11">
        <f>MAX((Inputs!B18+((1+(1-Inputs!B22)*(Inputs!B36/(1-Inputs!B36)))/(1+(1-Inputs!B22)*0.25))*Inputs!B19+IF(ISBLANK(I17),Inputs!B24,I17)+Inputs!B25+Inputs!B39)*(1-Inputs!B36)+Inputs!B38*Inputs!B36,I15)</f>
        <v>9.5662605946808518E-2</v>
      </c>
      <c r="J104" s="11">
        <f>MAX((Inputs!B18+((1+(1-Inputs!B22)*(Inputs!B36/(1-Inputs!B36)))/(1+(1-Inputs!B22)*0.25))*Inputs!B19+IF(ISBLANK(J17),Inputs!B24,J17)+Inputs!B25+Inputs!B39)*(1-Inputs!B36)+Inputs!B38*Inputs!B36,J15)</f>
        <v>9.5662605946808518E-2</v>
      </c>
    </row>
    <row r="105" spans="1:11" x14ac:dyDescent="0.4">
      <c r="A105" s="4" t="s">
        <v>166</v>
      </c>
      <c r="C105" s="6">
        <f t="shared" ref="C105:J105" si="44">SUM(C57:C61,C99:C103)</f>
        <v>161.59986252985797</v>
      </c>
      <c r="D105" s="6">
        <f t="shared" si="44"/>
        <v>95.265950852164124</v>
      </c>
      <c r="E105" s="6">
        <f t="shared" si="44"/>
        <v>19.805800210727647</v>
      </c>
      <c r="F105" s="6">
        <f t="shared" si="44"/>
        <v>11.152216698517318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4">
      <c r="A106" s="4" t="s">
        <v>167</v>
      </c>
      <c r="C106" s="6">
        <f t="shared" ref="C106:J106" si="45">IF(C5=0,0,C97*(1+C13)/(C104-C13))</f>
        <v>415.13681761982383</v>
      </c>
      <c r="D106" s="6">
        <f t="shared" si="45"/>
        <v>151.63776670858678</v>
      </c>
      <c r="E106" s="6">
        <f t="shared" si="45"/>
        <v>30.627911187800049</v>
      </c>
      <c r="F106" s="6">
        <f t="shared" si="45"/>
        <v>21.832822397127927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4">
      <c r="A107" s="4" t="s">
        <v>168</v>
      </c>
      <c r="C107" s="6">
        <f t="shared" ref="C107:J107" si="46">C106/(((1+C16)*(1+C16+(C104-C16)*1/5)*(1+C16+(C104-C16)*2/5)*(1+C16+(C104-C16)*3/5)*(1+C16+(C104-C16)*4/5))*(1+C104)^5)</f>
        <v>164.85138853865163</v>
      </c>
      <c r="D107" s="6">
        <f t="shared" si="46"/>
        <v>59.929587422059662</v>
      </c>
      <c r="E107" s="6">
        <f t="shared" si="46"/>
        <v>12.162384720044729</v>
      </c>
      <c r="F107" s="6">
        <f t="shared" si="46"/>
        <v>8.6698431339336874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4">
      <c r="A109" s="19" t="s">
        <v>169</v>
      </c>
      <c r="C109" s="20">
        <f t="shared" ref="C109:J109" si="47">C105+C107</f>
        <v>326.45125106850958</v>
      </c>
      <c r="D109" s="20">
        <f t="shared" si="47"/>
        <v>155.19553827422379</v>
      </c>
      <c r="E109" s="20">
        <f t="shared" si="47"/>
        <v>31.968184930772374</v>
      </c>
      <c r="F109" s="20">
        <f t="shared" si="47"/>
        <v>19.822059832451004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533.43703410595674</v>
      </c>
    </row>
    <row r="110" spans="1:11" x14ac:dyDescent="0.4">
      <c r="A110" s="4" t="s">
        <v>170</v>
      </c>
      <c r="K110" s="11">
        <f>IFERROR(SUMPRODUCT(C109:J109,C16:J16)/SUM(C109:J109),0)</f>
        <v>9.9815930853991652E-2</v>
      </c>
    </row>
    <row r="111" spans="1:11" x14ac:dyDescent="0.4">
      <c r="A111" s="4" t="s">
        <v>171</v>
      </c>
      <c r="K111" s="5">
        <v>98.9</v>
      </c>
    </row>
    <row r="112" spans="1:11" x14ac:dyDescent="0.4">
      <c r="A112" s="4" t="s">
        <v>172</v>
      </c>
      <c r="K112" s="5">
        <v>5</v>
      </c>
    </row>
    <row r="113" spans="1:11" x14ac:dyDescent="0.4">
      <c r="A113" s="4" t="s">
        <v>173</v>
      </c>
      <c r="K113" s="5">
        <v>-109.538296612876</v>
      </c>
    </row>
    <row r="114" spans="1:11" x14ac:dyDescent="0.4">
      <c r="A114" s="4" t="s">
        <v>174</v>
      </c>
      <c r="K114" s="5">
        <v>0</v>
      </c>
    </row>
    <row r="115" spans="1:11" x14ac:dyDescent="0.4">
      <c r="A115" s="4" t="s">
        <v>175</v>
      </c>
      <c r="K115" s="5">
        <v>0</v>
      </c>
    </row>
    <row r="116" spans="1:11" x14ac:dyDescent="0.4">
      <c r="A116" s="4" t="s">
        <v>176</v>
      </c>
      <c r="K116" s="5">
        <v>-4.5</v>
      </c>
    </row>
    <row r="117" spans="1:11" x14ac:dyDescent="0.4">
      <c r="A117" s="4" t="s">
        <v>177</v>
      </c>
      <c r="K117" s="5">
        <v>0</v>
      </c>
    </row>
    <row r="118" spans="1:11" x14ac:dyDescent="0.4">
      <c r="A118" s="4" t="s">
        <v>178</v>
      </c>
      <c r="K118" s="5">
        <v>0</v>
      </c>
    </row>
    <row r="119" spans="1:11" x14ac:dyDescent="0.4">
      <c r="A119" s="4" t="s">
        <v>179</v>
      </c>
      <c r="K119" s="20">
        <f>K109+K113+K114+K115+K116+K117+K118-K111-K112</f>
        <v>315.49873749308074</v>
      </c>
    </row>
    <row r="120" spans="1:11" x14ac:dyDescent="0.4">
      <c r="A120" s="4" t="s">
        <v>180</v>
      </c>
      <c r="K120" s="6">
        <f>Inputs!B11</f>
        <v>122.3</v>
      </c>
    </row>
    <row r="122" spans="1:11" ht="15.9" customHeight="1" x14ac:dyDescent="0.45">
      <c r="A122" s="4" t="s">
        <v>181</v>
      </c>
      <c r="K122" s="21">
        <f>K119/K120</f>
        <v>2.5797116720611672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/>
  </sheetViews>
  <sheetFormatPr baseColWidth="10" defaultColWidth="9.23046875" defaultRowHeight="14.6" x14ac:dyDescent="0.4"/>
  <cols>
    <col min="1" max="1" width="28" customWidth="1"/>
    <col min="2" max="2" width="16" customWidth="1"/>
    <col min="3" max="3" width="14" customWidth="1"/>
    <col min="4" max="4" width="16" customWidth="1"/>
    <col min="5" max="5" width="50" customWidth="1"/>
  </cols>
  <sheetData>
    <row r="1" spans="1:5" ht="18.45" customHeight="1" x14ac:dyDescent="0.5">
      <c r="A1" s="1" t="s">
        <v>184</v>
      </c>
    </row>
    <row r="2" spans="1:5" x14ac:dyDescent="0.4">
      <c r="A2" s="2" t="s">
        <v>185</v>
      </c>
    </row>
    <row r="3" spans="1:5" x14ac:dyDescent="0.4">
      <c r="A3" s="2" t="s">
        <v>186</v>
      </c>
    </row>
    <row r="4" spans="1:5" x14ac:dyDescent="0.4">
      <c r="A4" s="22" t="s">
        <v>187</v>
      </c>
      <c r="B4" s="22" t="s">
        <v>188</v>
      </c>
      <c r="C4" s="22" t="s">
        <v>189</v>
      </c>
      <c r="D4" s="22" t="s">
        <v>190</v>
      </c>
      <c r="E4" s="22" t="s">
        <v>191</v>
      </c>
    </row>
    <row r="5" spans="1:5" ht="30" customHeight="1" x14ac:dyDescent="0.4">
      <c r="A5" s="23" t="s">
        <v>192</v>
      </c>
      <c r="B5" s="5">
        <v>-15</v>
      </c>
      <c r="C5" s="7">
        <v>0.3</v>
      </c>
      <c r="D5" s="6">
        <f>IF(ISNUMBER(B5),B5*C5,"")</f>
        <v>-4.5</v>
      </c>
      <c r="E5" s="24" t="s">
        <v>193</v>
      </c>
    </row>
    <row r="6" spans="1:5" ht="30" customHeight="1" x14ac:dyDescent="0.4">
      <c r="A6" s="23"/>
      <c r="B6" s="5"/>
      <c r="C6" s="7"/>
      <c r="D6" s="6" t="str">
        <f>IF(ISNUMBER(B6),B6*C6,"")</f>
        <v/>
      </c>
      <c r="E6" s="24"/>
    </row>
    <row r="7" spans="1:5" ht="30" customHeight="1" x14ac:dyDescent="0.4">
      <c r="A7" s="23"/>
      <c r="B7" s="5"/>
      <c r="C7" s="7"/>
      <c r="D7" s="6" t="str">
        <f>IF(ISNUMBER(B7),B7*C7,"")</f>
        <v/>
      </c>
      <c r="E7" s="24"/>
    </row>
    <row r="8" spans="1:5" ht="30" customHeight="1" x14ac:dyDescent="0.4">
      <c r="A8" s="23"/>
      <c r="B8" s="5"/>
      <c r="C8" s="7"/>
      <c r="D8" s="6" t="str">
        <f>IF(ISNUMBER(B8),B8*C8,"")</f>
        <v/>
      </c>
      <c r="E8" s="24"/>
    </row>
    <row r="9" spans="1:5" ht="30" customHeight="1" x14ac:dyDescent="0.4">
      <c r="A9" s="23"/>
      <c r="B9" s="5"/>
      <c r="C9" s="7"/>
      <c r="D9" s="6" t="str">
        <f>IF(ISNUMBER(B9),B9*C9,"")</f>
        <v/>
      </c>
      <c r="E9" s="24"/>
    </row>
    <row r="11" spans="1:5" x14ac:dyDescent="0.4">
      <c r="C11" s="4" t="s">
        <v>194</v>
      </c>
      <c r="D11" s="20">
        <f>SUM(D5:D9)</f>
        <v>-4.5</v>
      </c>
    </row>
    <row r="12" spans="1:5" x14ac:dyDescent="0.4">
      <c r="C12" s="4" t="s">
        <v>195</v>
      </c>
      <c r="D12" s="20">
        <f>IF(Inputs!B11&gt;0,D11/Inputs!B11,"")</f>
        <v>-3.6794766966475878E-2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2"/>
  <sheetViews>
    <sheetView workbookViewId="0"/>
  </sheetViews>
  <sheetFormatPr baseColWidth="10" defaultColWidth="9.23046875" defaultRowHeight="14.6" x14ac:dyDescent="0.4"/>
  <cols>
    <col min="1" max="1" width="30" customWidth="1"/>
    <col min="2" max="10" width="10" customWidth="1"/>
    <col min="11" max="11" width="8" customWidth="1"/>
    <col min="12" max="12" width="10" customWidth="1"/>
  </cols>
  <sheetData>
    <row r="1" spans="1:12" ht="18.45" customHeight="1" x14ac:dyDescent="0.5">
      <c r="A1" s="1" t="s">
        <v>196</v>
      </c>
    </row>
    <row r="2" spans="1:12" x14ac:dyDescent="0.4">
      <c r="A2" s="2" t="s">
        <v>197</v>
      </c>
    </row>
    <row r="4" spans="1:12" x14ac:dyDescent="0.4">
      <c r="A4" s="3" t="s">
        <v>198</v>
      </c>
    </row>
    <row r="5" spans="1:12" ht="29.15" customHeight="1" x14ac:dyDescent="0.4">
      <c r="A5" s="25" t="s">
        <v>199</v>
      </c>
      <c r="B5" s="25" t="s">
        <v>200</v>
      </c>
      <c r="C5" s="25" t="s">
        <v>201</v>
      </c>
      <c r="D5" s="25" t="s">
        <v>202</v>
      </c>
      <c r="E5" s="25" t="s">
        <v>203</v>
      </c>
      <c r="F5" s="25" t="s">
        <v>204</v>
      </c>
      <c r="G5" s="25" t="s">
        <v>205</v>
      </c>
      <c r="H5" s="25" t="s">
        <v>206</v>
      </c>
      <c r="I5" s="25" t="s">
        <v>207</v>
      </c>
      <c r="J5" s="25" t="s">
        <v>208</v>
      </c>
      <c r="K5" s="25" t="s">
        <v>209</v>
      </c>
      <c r="L5" s="25" t="s">
        <v>210</v>
      </c>
    </row>
    <row r="6" spans="1:12" x14ac:dyDescent="0.4">
      <c r="A6" s="35" t="s">
        <v>55</v>
      </c>
      <c r="B6" s="36">
        <v>7.0000000000000007E-2</v>
      </c>
      <c r="C6" s="36">
        <v>0.03</v>
      </c>
      <c r="D6" s="36">
        <v>-0.01</v>
      </c>
      <c r="E6" s="36">
        <v>0.1341186941154901</v>
      </c>
      <c r="F6" s="36">
        <v>0.109</v>
      </c>
      <c r="G6" s="36">
        <v>8.8999999999999996E-2</v>
      </c>
      <c r="H6" s="36">
        <v>2.9186449019248349E-2</v>
      </c>
      <c r="I6" s="36">
        <v>2.5000000000000001E-2</v>
      </c>
      <c r="J6" s="36">
        <v>1.872032647112748E-2</v>
      </c>
      <c r="K6" s="37">
        <v>1.37</v>
      </c>
      <c r="L6" s="37">
        <v>3</v>
      </c>
    </row>
    <row r="7" spans="1:12" x14ac:dyDescent="0.4">
      <c r="A7" s="35" t="s">
        <v>56</v>
      </c>
      <c r="B7" s="36">
        <v>2.465257156736923E-2</v>
      </c>
      <c r="C7" s="36">
        <v>0.01</v>
      </c>
      <c r="D7" s="36">
        <v>-4.6525715673692257E-3</v>
      </c>
      <c r="E7" s="36">
        <v>0.25311869411549009</v>
      </c>
      <c r="F7" s="36">
        <v>0.22800000000000001</v>
      </c>
      <c r="G7" s="36">
        <v>0.20288130588450989</v>
      </c>
      <c r="H7" s="36">
        <v>1.418644901924835E-2</v>
      </c>
      <c r="I7" s="36">
        <v>0.01</v>
      </c>
      <c r="J7" s="36">
        <v>3.7203264711274751E-3</v>
      </c>
      <c r="K7" s="37">
        <v>1.44</v>
      </c>
      <c r="L7" s="37">
        <v>3</v>
      </c>
    </row>
    <row r="8" spans="1:12" x14ac:dyDescent="0.4">
      <c r="A8" s="35" t="s">
        <v>57</v>
      </c>
      <c r="B8" s="36">
        <v>-3.5347428432630779E-2</v>
      </c>
      <c r="C8" s="36">
        <v>-0.05</v>
      </c>
      <c r="D8" s="36">
        <v>-6.4652571567369227E-2</v>
      </c>
      <c r="E8" s="36">
        <v>9.6118694115490094E-2</v>
      </c>
      <c r="F8" s="36">
        <v>7.0999999999999994E-2</v>
      </c>
      <c r="G8" s="36">
        <v>4.5881305884509893E-2</v>
      </c>
      <c r="H8" s="36">
        <v>2.4186449019248352E-2</v>
      </c>
      <c r="I8" s="36">
        <v>0.02</v>
      </c>
      <c r="J8" s="36">
        <v>1.372032647112748E-2</v>
      </c>
      <c r="K8" s="37">
        <v>1.37</v>
      </c>
      <c r="L8" s="37">
        <v>3</v>
      </c>
    </row>
    <row r="9" spans="1:12" x14ac:dyDescent="0.4">
      <c r="A9" s="35" t="s">
        <v>58</v>
      </c>
      <c r="B9" s="36">
        <v>3.4652571567369228E-2</v>
      </c>
      <c r="C9" s="36">
        <v>0.02</v>
      </c>
      <c r="D9" s="36">
        <v>5.3474284326307754E-3</v>
      </c>
      <c r="E9" s="36">
        <v>7.6118694115490104E-2</v>
      </c>
      <c r="F9" s="36">
        <v>5.0999999999999997E-2</v>
      </c>
      <c r="G9" s="36">
        <v>2.58813058845099E-2</v>
      </c>
      <c r="H9" s="36">
        <v>2.4186449019248352E-2</v>
      </c>
      <c r="I9" s="36">
        <v>0.02</v>
      </c>
      <c r="J9" s="36">
        <v>1.372032647112748E-2</v>
      </c>
      <c r="K9" s="37">
        <v>1.37</v>
      </c>
      <c r="L9" s="37">
        <v>3</v>
      </c>
    </row>
    <row r="10" spans="1:12" x14ac:dyDescent="0.4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</row>
    <row r="11" spans="1:12" x14ac:dyDescent="0.4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</row>
    <row r="12" spans="1:12" x14ac:dyDescent="0.4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pans="1:12" x14ac:dyDescent="0.4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5" spans="1:12" x14ac:dyDescent="0.4">
      <c r="A15" s="3" t="s">
        <v>211</v>
      </c>
    </row>
    <row r="16" spans="1:12" x14ac:dyDescent="0.4">
      <c r="A16" s="22" t="s">
        <v>212</v>
      </c>
      <c r="B16" s="22" t="s">
        <v>213</v>
      </c>
      <c r="C16" s="22" t="s">
        <v>214</v>
      </c>
      <c r="D16" s="22" t="s">
        <v>215</v>
      </c>
      <c r="E16" s="22" t="s">
        <v>216</v>
      </c>
    </row>
    <row r="17" spans="1:5" x14ac:dyDescent="0.4">
      <c r="A17" s="4" t="s">
        <v>217</v>
      </c>
      <c r="B17" s="6">
        <f>'DCF Bull'!K122</f>
        <v>8.8945214715035643</v>
      </c>
      <c r="C17" s="38">
        <v>0.2</v>
      </c>
      <c r="D17" s="27" t="s">
        <v>218</v>
      </c>
      <c r="E17" s="6">
        <f>MAX(B17,0)</f>
        <v>8.8945214715035643</v>
      </c>
    </row>
    <row r="18" spans="1:5" x14ac:dyDescent="0.4">
      <c r="A18" s="4" t="s">
        <v>219</v>
      </c>
      <c r="B18" s="6">
        <f>'DCF Base'!K122</f>
        <v>5.2752969594502321</v>
      </c>
      <c r="C18" s="38">
        <v>0.6</v>
      </c>
      <c r="D18" s="27" t="s">
        <v>220</v>
      </c>
      <c r="E18" s="6">
        <f>MAX(B18,0)</f>
        <v>5.2752969594502321</v>
      </c>
    </row>
    <row r="19" spans="1:5" x14ac:dyDescent="0.4">
      <c r="A19" s="4" t="s">
        <v>221</v>
      </c>
      <c r="B19" s="6">
        <f>'DCF Bear'!K122</f>
        <v>2.5797116720611672</v>
      </c>
      <c r="C19" s="38">
        <v>0.2</v>
      </c>
      <c r="D19" s="27" t="s">
        <v>222</v>
      </c>
      <c r="E19" s="6">
        <f>MAX(B19,0)</f>
        <v>2.5797116720611672</v>
      </c>
    </row>
    <row r="20" spans="1:5" x14ac:dyDescent="0.4">
      <c r="A20" s="2" t="s">
        <v>223</v>
      </c>
    </row>
    <row r="21" spans="1:5" ht="15.9" customHeight="1" x14ac:dyDescent="0.45">
      <c r="A21" s="19" t="s">
        <v>224</v>
      </c>
      <c r="B21" s="21">
        <f>MAX(0,B17*C17+B18*C18+B19*C19)</f>
        <v>5.4600248043830861</v>
      </c>
      <c r="D21" s="2" t="s">
        <v>225</v>
      </c>
      <c r="E21" s="6">
        <f>B17*C17+B18*C18+B19*C19</f>
        <v>5.4600248043830861</v>
      </c>
    </row>
    <row r="22" spans="1:5" x14ac:dyDescent="0.4">
      <c r="A22" s="2" t="s">
        <v>226</v>
      </c>
      <c r="B22" s="39" t="s">
        <v>227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3"/>
  <sheetViews>
    <sheetView workbookViewId="0"/>
  </sheetViews>
  <sheetFormatPr baseColWidth="10" defaultColWidth="9.23046875" defaultRowHeight="14.6" x14ac:dyDescent="0.4"/>
  <cols>
    <col min="1" max="1" width="34" customWidth="1"/>
    <col min="2" max="5" width="14" customWidth="1"/>
  </cols>
  <sheetData>
    <row r="1" spans="1:5" ht="16.75" customHeight="1" x14ac:dyDescent="0.45">
      <c r="A1" s="28" t="s">
        <v>228</v>
      </c>
    </row>
    <row r="2" spans="1:5" x14ac:dyDescent="0.4">
      <c r="A2" s="2" t="s">
        <v>229</v>
      </c>
    </row>
    <row r="4" spans="1:5" x14ac:dyDescent="0.4">
      <c r="A4" s="4" t="s">
        <v>230</v>
      </c>
      <c r="B4" s="40">
        <v>3.82</v>
      </c>
    </row>
    <row r="5" spans="1:5" x14ac:dyDescent="0.4">
      <c r="A5" s="4" t="s">
        <v>231</v>
      </c>
      <c r="B5" s="40">
        <v>5.46</v>
      </c>
    </row>
    <row r="6" spans="1:5" x14ac:dyDescent="0.4">
      <c r="A6" s="4" t="s">
        <v>232</v>
      </c>
      <c r="B6" s="29">
        <f>(B5-B4)/B4</f>
        <v>0.42931937172774876</v>
      </c>
    </row>
    <row r="7" spans="1:5" x14ac:dyDescent="0.4">
      <c r="A7" s="4" t="s">
        <v>233</v>
      </c>
      <c r="B7" s="41" t="s">
        <v>234</v>
      </c>
    </row>
    <row r="9" spans="1:5" x14ac:dyDescent="0.4">
      <c r="B9" s="31" t="s">
        <v>219</v>
      </c>
      <c r="C9" s="31" t="s">
        <v>235</v>
      </c>
      <c r="D9" s="31" t="s">
        <v>236</v>
      </c>
      <c r="E9" s="31" t="s">
        <v>237</v>
      </c>
    </row>
    <row r="10" spans="1:5" x14ac:dyDescent="0.4">
      <c r="A10" t="s">
        <v>238</v>
      </c>
      <c r="B10" s="42">
        <v>830.9</v>
      </c>
      <c r="C10" s="6">
        <f>B10</f>
        <v>830.9</v>
      </c>
      <c r="D10" s="6">
        <f>B10</f>
        <v>830.9</v>
      </c>
      <c r="E10" s="6">
        <f t="shared" ref="E10:E15" si="0">B10</f>
        <v>830.9</v>
      </c>
    </row>
    <row r="11" spans="1:5" x14ac:dyDescent="0.4">
      <c r="A11" t="s">
        <v>239</v>
      </c>
      <c r="B11" s="43">
        <v>1.1203514261643999E-2</v>
      </c>
      <c r="C11" s="44">
        <v>-4.2968749999999993E-2</v>
      </c>
      <c r="D11" s="11">
        <f>B11</f>
        <v>1.1203514261643999E-2</v>
      </c>
      <c r="E11" s="11">
        <f t="shared" si="0"/>
        <v>1.1203514261643999E-2</v>
      </c>
    </row>
    <row r="12" spans="1:5" x14ac:dyDescent="0.4">
      <c r="A12" t="s">
        <v>240</v>
      </c>
      <c r="B12" s="43">
        <v>0.1133428812131424</v>
      </c>
      <c r="C12" s="11">
        <f t="shared" ref="C12:C20" si="1">B12</f>
        <v>0.1133428812131424</v>
      </c>
      <c r="D12" s="11">
        <f>B12</f>
        <v>0.1133428812131424</v>
      </c>
      <c r="E12" s="11">
        <f t="shared" si="0"/>
        <v>0.1133428812131424</v>
      </c>
    </row>
    <row r="13" spans="1:5" x14ac:dyDescent="0.4">
      <c r="A13" t="s">
        <v>241</v>
      </c>
      <c r="B13" s="43">
        <v>0.12682332410639069</v>
      </c>
      <c r="C13" s="11">
        <f t="shared" si="1"/>
        <v>0.12682332410639069</v>
      </c>
      <c r="D13" s="44">
        <v>9.2926025390625028E-2</v>
      </c>
      <c r="E13" s="11">
        <f t="shared" si="0"/>
        <v>0.12682332410639069</v>
      </c>
    </row>
    <row r="14" spans="1:5" x14ac:dyDescent="0.4">
      <c r="A14" t="s">
        <v>242</v>
      </c>
      <c r="B14" s="43">
        <v>1.2243230232278249E-2</v>
      </c>
      <c r="C14" s="11">
        <f t="shared" si="1"/>
        <v>1.2243230232278249E-2</v>
      </c>
      <c r="D14" s="11">
        <f t="shared" ref="D14:D20" si="2">B14</f>
        <v>1.2243230232278249E-2</v>
      </c>
      <c r="E14" s="11">
        <f t="shared" si="0"/>
        <v>1.2243230232278249E-2</v>
      </c>
    </row>
    <row r="15" spans="1:5" x14ac:dyDescent="0.4">
      <c r="A15" t="s">
        <v>73</v>
      </c>
      <c r="B15" s="43">
        <v>2.1086171621133711E-2</v>
      </c>
      <c r="C15" s="11">
        <f t="shared" si="1"/>
        <v>2.1086171621133711E-2</v>
      </c>
      <c r="D15" s="11">
        <f t="shared" si="2"/>
        <v>2.1086171621133711E-2</v>
      </c>
      <c r="E15" s="11">
        <f t="shared" si="0"/>
        <v>2.1086171621133711E-2</v>
      </c>
    </row>
    <row r="16" spans="1:5" x14ac:dyDescent="0.4">
      <c r="A16" t="s">
        <v>243</v>
      </c>
      <c r="B16" s="43">
        <v>9.9715088849952921E-2</v>
      </c>
      <c r="C16" s="11">
        <f t="shared" si="1"/>
        <v>9.9715088849952921E-2</v>
      </c>
      <c r="D16" s="11">
        <f t="shared" si="2"/>
        <v>9.9715088849952921E-2</v>
      </c>
      <c r="E16" s="44">
        <v>0.12729492187499999</v>
      </c>
    </row>
    <row r="17" spans="1:5" x14ac:dyDescent="0.4">
      <c r="A17" t="s">
        <v>244</v>
      </c>
      <c r="B17" s="43">
        <v>0.3</v>
      </c>
      <c r="C17" s="11">
        <f t="shared" si="1"/>
        <v>0.3</v>
      </c>
      <c r="D17" s="11">
        <f t="shared" si="2"/>
        <v>0.3</v>
      </c>
      <c r="E17" s="11">
        <f>B17</f>
        <v>0.3</v>
      </c>
    </row>
    <row r="18" spans="1:5" x14ac:dyDescent="0.4">
      <c r="A18" t="s">
        <v>245</v>
      </c>
      <c r="B18" s="42">
        <v>97.7</v>
      </c>
      <c r="C18" s="6">
        <f t="shared" si="1"/>
        <v>97.7</v>
      </c>
      <c r="D18" s="6">
        <f t="shared" si="2"/>
        <v>97.7</v>
      </c>
      <c r="E18" s="6">
        <f>B18</f>
        <v>97.7</v>
      </c>
    </row>
    <row r="19" spans="1:5" x14ac:dyDescent="0.4">
      <c r="A19" t="s">
        <v>246</v>
      </c>
      <c r="B19" s="42">
        <v>-195.3</v>
      </c>
      <c r="C19" s="6">
        <f t="shared" si="1"/>
        <v>-195.3</v>
      </c>
      <c r="D19" s="6">
        <f t="shared" si="2"/>
        <v>-195.3</v>
      </c>
      <c r="E19" s="6">
        <f>B19</f>
        <v>-195.3</v>
      </c>
    </row>
    <row r="20" spans="1:5" x14ac:dyDescent="0.4">
      <c r="A20" t="s">
        <v>247</v>
      </c>
      <c r="B20" s="40">
        <v>122.3</v>
      </c>
      <c r="C20" s="6">
        <f t="shared" si="1"/>
        <v>122.3</v>
      </c>
      <c r="D20" s="6">
        <f t="shared" si="2"/>
        <v>122.3</v>
      </c>
      <c r="E20" s="6">
        <f>B20</f>
        <v>122.3</v>
      </c>
    </row>
    <row r="22" spans="1:5" x14ac:dyDescent="0.4">
      <c r="A22" t="s">
        <v>248</v>
      </c>
      <c r="B22" s="6">
        <f>B10*(1+B11)^1</f>
        <v>840.20899999999995</v>
      </c>
      <c r="C22" s="6">
        <f>C10*(1+C11)^1</f>
        <v>795.197265625</v>
      </c>
      <c r="D22" s="6">
        <f>D10*(1+D11)^1</f>
        <v>840.20899999999995</v>
      </c>
      <c r="E22" s="6">
        <f>E10*(1+E11)^1</f>
        <v>840.20899999999995</v>
      </c>
    </row>
    <row r="23" spans="1:5" x14ac:dyDescent="0.4">
      <c r="A23" t="s">
        <v>249</v>
      </c>
      <c r="B23" s="6">
        <f>B10*(1+B11)^2</f>
        <v>849.62229351426151</v>
      </c>
      <c r="C23" s="6">
        <f>C10*(1+C11)^2</f>
        <v>761.02863311767578</v>
      </c>
      <c r="D23" s="6">
        <f>D10*(1+D11)^2</f>
        <v>849.62229351426151</v>
      </c>
      <c r="E23" s="6">
        <f>E10*(1+E11)^2</f>
        <v>849.62229351426151</v>
      </c>
    </row>
    <row r="24" spans="1:5" x14ac:dyDescent="0.4">
      <c r="A24" t="s">
        <v>250</v>
      </c>
      <c r="B24" s="6">
        <f>B10*(1+B11)^3</f>
        <v>859.14104899665926</v>
      </c>
      <c r="C24" s="6">
        <f>C10*(1+C11)^3</f>
        <v>728.32818403840065</v>
      </c>
      <c r="D24" s="6">
        <f>D10*(1+D11)^3</f>
        <v>859.14104899665926</v>
      </c>
      <c r="E24" s="6">
        <f>E10*(1+E11)^3</f>
        <v>859.14104899665926</v>
      </c>
    </row>
    <row r="25" spans="1:5" x14ac:dyDescent="0.4">
      <c r="A25" t="s">
        <v>251</v>
      </c>
      <c r="B25" s="6">
        <f>B10*(1+B11)^4</f>
        <v>868.76644799185715</v>
      </c>
      <c r="C25" s="6">
        <f>C10*(1+C11)^4</f>
        <v>697.03283238050062</v>
      </c>
      <c r="D25" s="6">
        <f>D10*(1+D11)^4</f>
        <v>868.76644799185715</v>
      </c>
      <c r="E25" s="6">
        <f>E10*(1+E11)^4</f>
        <v>868.76644799185715</v>
      </c>
    </row>
    <row r="26" spans="1:5" x14ac:dyDescent="0.4">
      <c r="A26" t="s">
        <v>252</v>
      </c>
      <c r="B26" s="6">
        <f>B10*(1+B11)^5</f>
        <v>878.49968528197167</v>
      </c>
      <c r="C26" s="6">
        <f>C10*(1+C11)^5</f>
        <v>667.08220286415099</v>
      </c>
      <c r="D26" s="6">
        <f>D10*(1+D11)^5</f>
        <v>878.49968528197167</v>
      </c>
      <c r="E26" s="6">
        <f>E10*(1+E11)^5</f>
        <v>878.49968528197167</v>
      </c>
    </row>
    <row r="27" spans="1:5" x14ac:dyDescent="0.4">
      <c r="A27" t="s">
        <v>253</v>
      </c>
      <c r="B27" s="6">
        <f>B26*(1+(B11+(B15-B11)*1/5))</f>
        <v>890.0783513108903</v>
      </c>
      <c r="C27" s="6">
        <f>C26*(1+(C11+(C15-C11)*1/5))</f>
        <v>646.9644941036953</v>
      </c>
      <c r="D27" s="6">
        <f>D26*(1+(D11+(D15-D11)*1/5))</f>
        <v>890.0783513108903</v>
      </c>
      <c r="E27" s="6">
        <f>E26*(1+(E11+(E15-E11)*1/5))</f>
        <v>890.0783513108903</v>
      </c>
    </row>
    <row r="28" spans="1:5" x14ac:dyDescent="0.4">
      <c r="A28" t="s">
        <v>254</v>
      </c>
      <c r="B28" s="6">
        <f>B27*(1+(B11+(B15-B11)*2/5))</f>
        <v>903.56889256142438</v>
      </c>
      <c r="C28" s="6">
        <f>C27*(1+(C11+(C15-C11)*2/5))</f>
        <v>635.74174248226461</v>
      </c>
      <c r="D28" s="6">
        <f>D27*(1+(D11+(D15-D11)*2/5))</f>
        <v>903.56889256142438</v>
      </c>
      <c r="E28" s="6">
        <f>E27*(1+(E11+(E15-E11)*2/5))</f>
        <v>903.56889256142438</v>
      </c>
    </row>
    <row r="29" spans="1:5" x14ac:dyDescent="0.4">
      <c r="A29" t="s">
        <v>255</v>
      </c>
      <c r="B29" s="6">
        <f>B28*(1+(B11+(B15-B11)*3/5))</f>
        <v>919.04983659514107</v>
      </c>
      <c r="C29" s="6">
        <f>C28*(1+(C11+(C15-C11)*3/5))</f>
        <v>632.85814697657042</v>
      </c>
      <c r="D29" s="6">
        <f>D28*(1+(D11+(D15-D11)*3/5))</f>
        <v>919.04983659514107</v>
      </c>
      <c r="E29" s="6">
        <f>E28*(1+(E11+(E15-E11)*3/5))</f>
        <v>919.04983659514107</v>
      </c>
    </row>
    <row r="30" spans="1:5" x14ac:dyDescent="0.4">
      <c r="A30" t="s">
        <v>256</v>
      </c>
      <c r="B30" s="6">
        <f>B29*(1+(B11+(B15-B11)*4/5))</f>
        <v>936.61254825168805</v>
      </c>
      <c r="C30" s="6">
        <f>C29*(1+(C11+(C15-C11)*4/5))</f>
        <v>638.09516667517494</v>
      </c>
      <c r="D30" s="6">
        <f>D29*(1+(D11+(D15-D11)*4/5))</f>
        <v>936.61254825168805</v>
      </c>
      <c r="E30" s="6">
        <f>E29*(1+(E11+(E15-E11)*4/5))</f>
        <v>936.61254825168805</v>
      </c>
    </row>
    <row r="31" spans="1:5" x14ac:dyDescent="0.4">
      <c r="A31" t="s">
        <v>257</v>
      </c>
      <c r="B31" s="6">
        <f>B30*(1+(B11+(B15-B11)*5/5))</f>
        <v>956.36212118663047</v>
      </c>
      <c r="C31" s="6">
        <f>C30*(1+(C11+(C15-C11)*5/5))</f>
        <v>651.55015087030358</v>
      </c>
      <c r="D31" s="6">
        <f>D30*(1+(D11+(D15-D11)*5/5))</f>
        <v>956.36212118663047</v>
      </c>
      <c r="E31" s="6">
        <f>E30*(1+(E11+(E15-E11)*5/5))</f>
        <v>956.36212118663047</v>
      </c>
    </row>
    <row r="33" spans="1:5" x14ac:dyDescent="0.4">
      <c r="A33" t="s">
        <v>258</v>
      </c>
      <c r="B33" s="6">
        <f>B22*(B12+(B13-B12)*0/4)*(1-B17)-B22*B14</f>
        <v>56.37532398661692</v>
      </c>
      <c r="C33" s="6">
        <f>C22*(C12+(C13-C12)*0/4)*(1-C17)-C22*C14</f>
        <v>53.355181250000008</v>
      </c>
      <c r="D33" s="6">
        <f>D22*(D12+(D13-D12)*0/4)*(1-D17)-D22*D14</f>
        <v>56.37532398661692</v>
      </c>
      <c r="E33" s="6">
        <f>E22*(E12+(E13-E12)*0/4)*(1-E17)-E22*E14</f>
        <v>56.37532398661692</v>
      </c>
    </row>
    <row r="34" spans="1:5" x14ac:dyDescent="0.4">
      <c r="A34" t="s">
        <v>259</v>
      </c>
      <c r="B34" s="6">
        <f>B23*(B12+(B13-B12)*1/4)*(1-B17)-B23*B14</f>
        <v>59.01125057440197</v>
      </c>
      <c r="C34" s="6">
        <f>C23*(C12+(C13-C12)*1/4)*(1-C17)-C23*C14</f>
        <v>52.857901335716257</v>
      </c>
      <c r="D34" s="6">
        <f>D23*(D12+(D13-D12)*1/4)*(1-D17)-D23*D14</f>
        <v>53.971267955607274</v>
      </c>
      <c r="E34" s="6">
        <f>E23*(E12+(E13-E12)*1/4)*(1-E17)-E23*E14</f>
        <v>59.01125057440197</v>
      </c>
    </row>
    <row r="35" spans="1:5" x14ac:dyDescent="0.4">
      <c r="A35" t="s">
        <v>260</v>
      </c>
      <c r="B35" s="6">
        <f>B24*(B12+(B13-B12)*2/4)*(1-B17)-B24*B14</f>
        <v>61.6991642852526</v>
      </c>
      <c r="C35" s="6">
        <f>C24*(C12+(C13-C12)*2/4)*(1-C17)-C24*C14</f>
        <v>52.304846023879961</v>
      </c>
      <c r="D35" s="6">
        <f>D24*(D12+(D13-D12)*2/4)*(1-D17)-D24*D14</f>
        <v>51.506268013366991</v>
      </c>
      <c r="E35" s="6">
        <f>E24*(E12+(E13-E12)*2/4)*(1-E17)-E24*E14</f>
        <v>61.6991642852526</v>
      </c>
    </row>
    <row r="36" spans="1:5" x14ac:dyDescent="0.4">
      <c r="A36" t="s">
        <v>261</v>
      </c>
      <c r="B36" s="6">
        <f>B25*(B12+(B13-B12)*3/4)*(1-B17)-B25*B14</f>
        <v>64.439899137955706</v>
      </c>
      <c r="C36" s="6">
        <f>C25*(C12+(C13-C12)*3/4)*(1-C17)-C25*C14</f>
        <v>51.701726647325636</v>
      </c>
      <c r="D36" s="6">
        <f>D25*(D12+(D13-D12)*3/4)*(1-D17)-D25*D14</f>
        <v>48.979260342003009</v>
      </c>
      <c r="E36" s="6">
        <f>E25*(E12+(E13-E12)*3/4)*(1-E17)-E25*E14</f>
        <v>64.439899137955706</v>
      </c>
    </row>
    <row r="37" spans="1:5" x14ac:dyDescent="0.4">
      <c r="A37" t="s">
        <v>262</v>
      </c>
      <c r="B37" s="6">
        <f>B26*(B12+(B13-B12)*4/4)*(1-B17)-B26*B14</f>
        <v>67.234301313823238</v>
      </c>
      <c r="C37" s="6">
        <f>C26*(C12+(C13-C12)*4/4)*(1-C17)-C26*C14</f>
        <v>51.053866700090545</v>
      </c>
      <c r="D37" s="6">
        <f>D26*(D12+(D13-D12)*4/4)*(1-D17)-D26*D14</f>
        <v>46.389164936226848</v>
      </c>
      <c r="E37" s="6">
        <f>E26*(E12+(E13-E12)*4/4)*(1-E17)-E26*E14</f>
        <v>67.234301313823238</v>
      </c>
    </row>
    <row r="38" spans="1:5" x14ac:dyDescent="0.4">
      <c r="A38" t="s">
        <v>263</v>
      </c>
      <c r="B38" s="6">
        <f>B27*B13*(1-B17)-B27*B14</f>
        <v>68.120452480002172</v>
      </c>
      <c r="C38" s="6">
        <f>C27*C13*(1-C17)-C27*C14</f>
        <v>49.514196151307054</v>
      </c>
      <c r="D38" s="6">
        <f>D27*D13*(1-D17)-D27*D14</f>
        <v>47.000576251627152</v>
      </c>
      <c r="E38" s="6">
        <f>E27*E13*(1-E17)-E27*E14</f>
        <v>68.120452480002172</v>
      </c>
    </row>
    <row r="39" spans="1:5" x14ac:dyDescent="0.4">
      <c r="A39" t="s">
        <v>264</v>
      </c>
      <c r="B39" s="6">
        <f>B28*B13*(1-B17)-B28*B14</f>
        <v>69.152925377284802</v>
      </c>
      <c r="C39" s="6">
        <f>C28*C13*(1-C17)-C28*C14</f>
        <v>48.655284216872744</v>
      </c>
      <c r="D39" s="6">
        <f>D28*D13*(1-D17)-D28*D14</f>
        <v>47.712944114285094</v>
      </c>
      <c r="E39" s="6">
        <f>E28*E13*(1-E17)-E28*E14</f>
        <v>69.152925377284802</v>
      </c>
    </row>
    <row r="40" spans="1:5" x14ac:dyDescent="0.4">
      <c r="A40" t="s">
        <v>265</v>
      </c>
      <c r="B40" s="6">
        <f>B29*B13*(1-B17)-B29*B14</f>
        <v>70.337729963129661</v>
      </c>
      <c r="C40" s="6">
        <f>C29*C13*(1-C17)-C29*C14</f>
        <v>48.434593723358454</v>
      </c>
      <c r="D40" s="6">
        <f>D29*D13*(1-D17)-D29*D14</f>
        <v>48.530415171110874</v>
      </c>
      <c r="E40" s="6">
        <f>E29*E13*(1-E17)-E29*E14</f>
        <v>70.337729963129661</v>
      </c>
    </row>
    <row r="41" spans="1:5" x14ac:dyDescent="0.4">
      <c r="A41" t="s">
        <v>266</v>
      </c>
      <c r="B41" s="6">
        <f>B30*B13*(1-B17)-B30*B14</f>
        <v>71.681858671639176</v>
      </c>
      <c r="C41" s="6">
        <f>C30*C13*(1-C17)-C30*C14</f>
        <v>48.835399058068838</v>
      </c>
      <c r="D41" s="6">
        <f>D30*D13*(1-D17)-D30*D14</f>
        <v>49.457813941323813</v>
      </c>
      <c r="E41" s="6">
        <f>E30*E13*(1-E17)-E30*E14</f>
        <v>71.681858671639176</v>
      </c>
    </row>
    <row r="42" spans="1:5" x14ac:dyDescent="0.4">
      <c r="A42" t="s">
        <v>267</v>
      </c>
      <c r="B42" s="6">
        <f>B31*B13*(1-B17)-B31*B14</f>
        <v>73.193354645711224</v>
      </c>
      <c r="C42" s="6">
        <f>C31*C13*(1-C17)-C31*C14</f>
        <v>49.865150663793827</v>
      </c>
      <c r="D42" s="6">
        <f>D31*D13*(1-D17)-D31*D14</f>
        <v>50.500689894096674</v>
      </c>
      <c r="E42" s="6">
        <f>E31*E13*(1-E17)-E31*E14</f>
        <v>73.193354645711224</v>
      </c>
    </row>
    <row r="44" spans="1:5" x14ac:dyDescent="0.4">
      <c r="A44" t="s">
        <v>124</v>
      </c>
      <c r="B44" s="6">
        <f>B33/(1+B16)^1</f>
        <v>51.263572318146913</v>
      </c>
      <c r="C44" s="6">
        <f>C33/(1+C16)^1</f>
        <v>48.517276693727247</v>
      </c>
      <c r="D44" s="6">
        <f>D33/(1+D16)^1</f>
        <v>51.263572318146913</v>
      </c>
      <c r="E44" s="6">
        <f>E33/(1+E16)^1</f>
        <v>50.009383429891912</v>
      </c>
    </row>
    <row r="45" spans="1:5" x14ac:dyDescent="0.4">
      <c r="A45" t="s">
        <v>125</v>
      </c>
      <c r="B45" s="6">
        <f>B34/(1+B16)^2</f>
        <v>48.79490204889013</v>
      </c>
      <c r="C45" s="6">
        <f>C34/(1+C16)^2</f>
        <v>43.706854084278341</v>
      </c>
      <c r="D45" s="6">
        <f>D34/(1+D16)^2</f>
        <v>44.627468621900974</v>
      </c>
      <c r="E45" s="6">
        <f>E34/(1+E16)^2</f>
        <v>46.436525481818599</v>
      </c>
    </row>
    <row r="46" spans="1:5" x14ac:dyDescent="0.4">
      <c r="A46" t="s">
        <v>126</v>
      </c>
      <c r="B46" s="6">
        <f>B35/(1+B16)^3</f>
        <v>46.391533627230892</v>
      </c>
      <c r="C46" s="6">
        <f>C35/(1+C16)^3</f>
        <v>39.327956080013657</v>
      </c>
      <c r="D46" s="6">
        <f>D35/(1+D16)^3</f>
        <v>38.72750615402439</v>
      </c>
      <c r="E46" s="6">
        <f>E35/(1+E16)^3</f>
        <v>43.069182617002284</v>
      </c>
    </row>
    <row r="47" spans="1:5" x14ac:dyDescent="0.4">
      <c r="A47" t="s">
        <v>127</v>
      </c>
      <c r="B47" s="6">
        <f>B36/(1+B16)^4</f>
        <v>44.058947297954582</v>
      </c>
      <c r="C47" s="6">
        <f>C36/(1+C16)^4</f>
        <v>35.349584342009869</v>
      </c>
      <c r="D47" s="6">
        <f>D36/(1+D16)^4</f>
        <v>33.488175477761416</v>
      </c>
      <c r="E47" s="6">
        <f>E36/(1+E16)^4</f>
        <v>39.902917422587727</v>
      </c>
    </row>
    <row r="48" spans="1:5" x14ac:dyDescent="0.4">
      <c r="A48" t="s">
        <v>128</v>
      </c>
      <c r="B48" s="6">
        <f>B37/(1+B16)^5</f>
        <v>41.801318116599127</v>
      </c>
      <c r="C48" s="6">
        <f>C37/(1+C16)^5</f>
        <v>31.741520047210802</v>
      </c>
      <c r="D48" s="6">
        <f>D37/(1+D16)^5</f>
        <v>28.841353338551365</v>
      </c>
      <c r="E48" s="6">
        <f>E37/(1+E16)^5</f>
        <v>36.932026875931292</v>
      </c>
    </row>
    <row r="49" spans="1:5" x14ac:dyDescent="0.4">
      <c r="A49" t="s">
        <v>160</v>
      </c>
      <c r="B49" s="6">
        <f>B38/(1+B16)^6</f>
        <v>38.512030825537622</v>
      </c>
      <c r="C49" s="6">
        <f>C38/(1+C16)^6</f>
        <v>27.992947478448588</v>
      </c>
      <c r="D49" s="6">
        <f>D38/(1+D16)^6</f>
        <v>26.571867559923742</v>
      </c>
      <c r="E49" s="6">
        <f>E38/(1+E16)^6</f>
        <v>33.193436742312983</v>
      </c>
    </row>
    <row r="50" spans="1:5" x14ac:dyDescent="0.4">
      <c r="A50" t="s">
        <v>161</v>
      </c>
      <c r="B50" s="6">
        <f>B39/(1+B16)^7</f>
        <v>35.550791100782511</v>
      </c>
      <c r="C50" s="6">
        <f>C39/(1+C16)^7</f>
        <v>25.013169518225798</v>
      </c>
      <c r="D50" s="6">
        <f>D39/(1+D16)^7</f>
        <v>24.528722389630602</v>
      </c>
      <c r="E50" s="6">
        <f>E39/(1+E16)^7</f>
        <v>29.891499531431549</v>
      </c>
    </row>
    <row r="51" spans="1:5" x14ac:dyDescent="0.4">
      <c r="A51" t="s">
        <v>162</v>
      </c>
      <c r="B51" s="6">
        <f>B40/(1+B16)^8</f>
        <v>32.881140792650584</v>
      </c>
      <c r="C51" s="6">
        <f>C40/(1+C16)^8</f>
        <v>22.641968916076713</v>
      </c>
      <c r="D51" s="6">
        <f>D40/(1+D16)^8</f>
        <v>22.686763061639194</v>
      </c>
      <c r="E51" s="6">
        <f>E40/(1+E16)^8</f>
        <v>26.970434490082329</v>
      </c>
    </row>
    <row r="52" spans="1:5" x14ac:dyDescent="0.4">
      <c r="A52" t="s">
        <v>163</v>
      </c>
      <c r="B52" s="6">
        <f>B41/(1+B16)^9</f>
        <v>30.471062824042583</v>
      </c>
      <c r="C52" s="6">
        <f>C41/(1+C16)^9</f>
        <v>20.759318191680162</v>
      </c>
      <c r="D52" s="6">
        <f>D41/(1+D16)^9</f>
        <v>21.023898984669355</v>
      </c>
      <c r="E52" s="6">
        <f>E41/(1+E16)^9</f>
        <v>24.38211088730878</v>
      </c>
    </row>
    <row r="53" spans="1:5" x14ac:dyDescent="0.4">
      <c r="A53" t="s">
        <v>164</v>
      </c>
      <c r="B53" s="6">
        <f>B42/(1+B16)^10</f>
        <v>28.292401549901697</v>
      </c>
      <c r="C53" s="6">
        <f>C42/(1+C16)^10</f>
        <v>19.275040374298083</v>
      </c>
      <c r="D53" s="6">
        <f>D42/(1+D16)^10</f>
        <v>19.520703811798381</v>
      </c>
      <c r="E53" s="6">
        <f>E42/(1+E16)^10</f>
        <v>22.084936052541455</v>
      </c>
    </row>
    <row r="54" spans="1:5" x14ac:dyDescent="0.4">
      <c r="A54" t="s">
        <v>166</v>
      </c>
      <c r="B54" s="6">
        <f>SUM(B44:B53)</f>
        <v>398.01770050173661</v>
      </c>
      <c r="C54" s="6">
        <f>SUM(C44:C53)</f>
        <v>314.32563572596928</v>
      </c>
      <c r="D54" s="6">
        <f>SUM(D44:D53)</f>
        <v>311.2800317180463</v>
      </c>
      <c r="E54" s="6">
        <f>SUM(E44:E53)</f>
        <v>352.8724535309089</v>
      </c>
    </row>
    <row r="55" spans="1:5" x14ac:dyDescent="0.4">
      <c r="A55" t="s">
        <v>167</v>
      </c>
      <c r="B55" s="6">
        <f>B42*(1+B15)/MAX(B16-B15,0.01)</f>
        <v>950.49919186607553</v>
      </c>
      <c r="C55" s="6">
        <f>C42*(1+C15)/MAX(C16-C15,0.01)</f>
        <v>647.55585582376852</v>
      </c>
      <c r="D55" s="6">
        <f>D42*(1+D15)/MAX(D16-D15,0.01)</f>
        <v>655.8090576031658</v>
      </c>
      <c r="E55" s="6">
        <f>E42*(1+E15)/MAX(E16-E15,0.01)</f>
        <v>703.67763583186104</v>
      </c>
    </row>
    <row r="56" spans="1:5" x14ac:dyDescent="0.4">
      <c r="A56" t="s">
        <v>168</v>
      </c>
      <c r="B56" s="6">
        <f>B55/(1+B16)^10</f>
        <v>367.40910345346225</v>
      </c>
      <c r="C56" s="6">
        <f>C55/(1+C16)^10</f>
        <v>250.30838370010173</v>
      </c>
      <c r="D56" s="6">
        <f>D55/(1+D16)^10</f>
        <v>253.49860363120519</v>
      </c>
      <c r="E56" s="6">
        <f>E55/(1+E16)^10</f>
        <v>212.3235868088581</v>
      </c>
    </row>
    <row r="57" spans="1:5" x14ac:dyDescent="0.4">
      <c r="A57" t="s">
        <v>268</v>
      </c>
      <c r="B57" s="6">
        <f>B54+B56</f>
        <v>765.42680395519892</v>
      </c>
      <c r="C57" s="6">
        <f>C54+C56</f>
        <v>564.63401942607106</v>
      </c>
      <c r="D57" s="6">
        <f>D54+D56</f>
        <v>564.77863534925154</v>
      </c>
      <c r="E57" s="6">
        <f>E54+E56</f>
        <v>565.19604033976702</v>
      </c>
    </row>
    <row r="58" spans="1:5" x14ac:dyDescent="0.4">
      <c r="A58" t="s">
        <v>269</v>
      </c>
      <c r="B58" s="6">
        <f>B57+B18+B19</f>
        <v>667.82680395519901</v>
      </c>
      <c r="C58" s="6">
        <f>C57+C18+C19</f>
        <v>467.0340194260711</v>
      </c>
      <c r="D58" s="6">
        <f>D57+D18+D19</f>
        <v>467.17863534925158</v>
      </c>
      <c r="E58" s="6">
        <f>E57+E18+E19</f>
        <v>467.59604033976706</v>
      </c>
    </row>
    <row r="59" spans="1:5" x14ac:dyDescent="0.4">
      <c r="A59" s="4" t="s">
        <v>270</v>
      </c>
      <c r="B59" s="32">
        <f>B58/B20</f>
        <v>5.4605625834439824</v>
      </c>
      <c r="C59" s="32">
        <f>C58/C20</f>
        <v>3.8187573133775232</v>
      </c>
      <c r="D59" s="32">
        <f>D58/D20</f>
        <v>3.8199397820870939</v>
      </c>
      <c r="E59" s="32">
        <f>E58/E20</f>
        <v>3.8233527419441296</v>
      </c>
    </row>
    <row r="60" spans="1:5" x14ac:dyDescent="0.4">
      <c r="A60" t="s">
        <v>271</v>
      </c>
      <c r="B60" s="6">
        <f>B59-B5</f>
        <v>5.6258344398241178E-4</v>
      </c>
      <c r="C60" s="6">
        <f>C59-B4</f>
        <v>-1.2426866224766187E-3</v>
      </c>
      <c r="D60" s="6">
        <f>D59-B4</f>
        <v>-6.0217912905891069E-5</v>
      </c>
      <c r="E60" s="6">
        <f>E59-B4</f>
        <v>3.3527419441297113E-3</v>
      </c>
    </row>
    <row r="62" spans="1:5" x14ac:dyDescent="0.4">
      <c r="A62" s="3" t="s">
        <v>272</v>
      </c>
    </row>
    <row r="63" spans="1:5" x14ac:dyDescent="0.4">
      <c r="A63" t="s">
        <v>273</v>
      </c>
      <c r="B63" s="45">
        <v>0.73</v>
      </c>
    </row>
    <row r="64" spans="1:5" x14ac:dyDescent="0.4">
      <c r="A64" t="s">
        <v>274</v>
      </c>
      <c r="B64" s="46">
        <v>5.4569999999999999</v>
      </c>
    </row>
    <row r="65" spans="1:3" x14ac:dyDescent="0.4">
      <c r="A65" t="s">
        <v>275</v>
      </c>
      <c r="B65" s="47"/>
    </row>
    <row r="66" spans="1:3" x14ac:dyDescent="0.4">
      <c r="A66" t="s">
        <v>276</v>
      </c>
      <c r="B66" s="47">
        <v>14.410307</v>
      </c>
    </row>
    <row r="67" spans="1:3" x14ac:dyDescent="0.4">
      <c r="A67" t="s">
        <v>277</v>
      </c>
      <c r="B67" s="47">
        <v>1.0213686</v>
      </c>
    </row>
    <row r="69" spans="1:3" x14ac:dyDescent="0.4">
      <c r="A69" s="4" t="s">
        <v>278</v>
      </c>
      <c r="B69" s="2" t="s">
        <v>279</v>
      </c>
      <c r="C69" s="2" t="s">
        <v>280</v>
      </c>
    </row>
    <row r="70" spans="1:3" x14ac:dyDescent="0.4">
      <c r="B70" s="48">
        <v>2025</v>
      </c>
      <c r="C70" s="49">
        <v>0.65</v>
      </c>
    </row>
    <row r="71" spans="1:3" x14ac:dyDescent="0.4">
      <c r="B71" s="48">
        <v>2024</v>
      </c>
      <c r="C71" s="49">
        <v>0.64</v>
      </c>
    </row>
    <row r="72" spans="1:3" x14ac:dyDescent="0.4">
      <c r="B72" s="48">
        <v>2023</v>
      </c>
      <c r="C72" s="49">
        <v>0.88</v>
      </c>
    </row>
    <row r="73" spans="1:3" x14ac:dyDescent="0.4">
      <c r="B73" s="48">
        <v>2022</v>
      </c>
      <c r="C73" s="49">
        <v>0.89</v>
      </c>
    </row>
    <row r="77" spans="1:3" x14ac:dyDescent="0.4">
      <c r="A77" s="3" t="s">
        <v>281</v>
      </c>
    </row>
    <row r="79" spans="1:3" x14ac:dyDescent="0.4">
      <c r="A79" t="s">
        <v>282</v>
      </c>
      <c r="B79" s="50">
        <v>560</v>
      </c>
    </row>
    <row r="80" spans="1:3" x14ac:dyDescent="0.4">
      <c r="A80" t="s">
        <v>283</v>
      </c>
      <c r="B80" s="50">
        <v>761</v>
      </c>
    </row>
    <row r="81" spans="1:2" x14ac:dyDescent="0.4">
      <c r="A81" t="s">
        <v>284</v>
      </c>
      <c r="B81" s="50">
        <v>103</v>
      </c>
    </row>
    <row r="82" spans="1:2" x14ac:dyDescent="0.4">
      <c r="A82" t="s">
        <v>285</v>
      </c>
      <c r="B82" s="50">
        <v>141</v>
      </c>
    </row>
    <row r="83" spans="1:2" x14ac:dyDescent="0.4">
      <c r="A83" s="4" t="s">
        <v>286</v>
      </c>
      <c r="B83" s="33">
        <f>IF(B81&gt;0,B79/B81,"")</f>
        <v>5.4368932038834954</v>
      </c>
    </row>
    <row r="84" spans="1:2" x14ac:dyDescent="0.4">
      <c r="A84" s="4" t="s">
        <v>287</v>
      </c>
      <c r="B84" s="33">
        <f>IF(B81&gt;0,B80/B81,"")</f>
        <v>7.3883495145631066</v>
      </c>
    </row>
    <row r="85" spans="1:2" x14ac:dyDescent="0.4">
      <c r="A85" s="4" t="s">
        <v>288</v>
      </c>
      <c r="B85" s="33">
        <f>IF(B82&gt;0,B79/B82,"")</f>
        <v>3.9716312056737588</v>
      </c>
    </row>
    <row r="86" spans="1:2" x14ac:dyDescent="0.4">
      <c r="A86" s="4" t="s">
        <v>289</v>
      </c>
      <c r="B86" s="33">
        <f>IF(B82&gt;0,B80/B82,"")</f>
        <v>5.3971631205673756</v>
      </c>
    </row>
    <row r="88" spans="1:2" x14ac:dyDescent="0.4">
      <c r="A88" s="4" t="s">
        <v>290</v>
      </c>
    </row>
    <row r="89" spans="1:2" x14ac:dyDescent="0.4">
      <c r="A89" t="s">
        <v>291</v>
      </c>
      <c r="B89" s="46">
        <v>3.99</v>
      </c>
    </row>
    <row r="90" spans="1:2" x14ac:dyDescent="0.4">
      <c r="A90" t="s">
        <v>292</v>
      </c>
      <c r="B90" s="46">
        <v>4.8099999999999996</v>
      </c>
    </row>
    <row r="91" spans="1:2" x14ac:dyDescent="0.4">
      <c r="A91" t="s">
        <v>293</v>
      </c>
      <c r="B91" s="46">
        <v>6.39</v>
      </c>
    </row>
    <row r="93" spans="1:2" x14ac:dyDescent="0.4">
      <c r="A93" s="4" t="s">
        <v>294</v>
      </c>
      <c r="B93" s="51" t="s">
        <v>295</v>
      </c>
    </row>
    <row r="94" spans="1:2" x14ac:dyDescent="0.4">
      <c r="A94" t="s">
        <v>296</v>
      </c>
      <c r="B94" s="41" t="s">
        <v>297</v>
      </c>
    </row>
    <row r="96" spans="1:2" x14ac:dyDescent="0.4">
      <c r="A96" s="3" t="s">
        <v>298</v>
      </c>
    </row>
    <row r="97" spans="1:5" x14ac:dyDescent="0.4">
      <c r="A97" s="4" t="s">
        <v>299</v>
      </c>
      <c r="B97" s="52">
        <v>1.0149999999999999</v>
      </c>
    </row>
    <row r="98" spans="1:5" x14ac:dyDescent="0.4">
      <c r="A98" t="s">
        <v>300</v>
      </c>
      <c r="B98" s="30"/>
      <c r="C98" s="30"/>
      <c r="D98" s="30"/>
    </row>
    <row r="99" spans="1:5" x14ac:dyDescent="0.4">
      <c r="A99" s="4" t="s">
        <v>301</v>
      </c>
      <c r="B99" s="4" t="s">
        <v>302</v>
      </c>
      <c r="C99" s="4" t="s">
        <v>303</v>
      </c>
      <c r="D99" s="4" t="s">
        <v>304</v>
      </c>
      <c r="E99" s="4" t="s">
        <v>305</v>
      </c>
    </row>
    <row r="100" spans="1:5" x14ac:dyDescent="0.4">
      <c r="A100" s="48" t="s">
        <v>306</v>
      </c>
      <c r="B100" s="53">
        <v>1.1000000000000001</v>
      </c>
      <c r="C100" s="53">
        <v>1.2</v>
      </c>
      <c r="D100" s="53">
        <v>0.121</v>
      </c>
      <c r="E100" s="54">
        <v>22.567</v>
      </c>
    </row>
    <row r="101" spans="1:5" x14ac:dyDescent="0.4">
      <c r="A101" s="48" t="s">
        <v>307</v>
      </c>
      <c r="B101" s="53">
        <v>0.35899999999999999</v>
      </c>
      <c r="C101" s="53">
        <v>1.1659999999999999</v>
      </c>
      <c r="D101" s="53">
        <v>3</v>
      </c>
      <c r="E101" s="54">
        <v>-52.305</v>
      </c>
    </row>
    <row r="102" spans="1:5" x14ac:dyDescent="0.4">
      <c r="A102" s="48" t="s">
        <v>308</v>
      </c>
      <c r="B102" s="53">
        <v>0.754</v>
      </c>
      <c r="C102" s="53">
        <v>1.202</v>
      </c>
      <c r="D102" s="53">
        <v>0.79300000000000004</v>
      </c>
      <c r="E102" s="54">
        <v>7.806</v>
      </c>
    </row>
    <row r="103" spans="1:5" x14ac:dyDescent="0.4">
      <c r="A103" s="48" t="s">
        <v>6</v>
      </c>
      <c r="B103" s="53">
        <v>1.0149999999999999</v>
      </c>
      <c r="C103" s="53">
        <v>1.399</v>
      </c>
      <c r="D103" s="53">
        <v>0.505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6"/>
  <sheetViews>
    <sheetView workbookViewId="0"/>
  </sheetViews>
  <sheetFormatPr baseColWidth="10" defaultColWidth="9.23046875" defaultRowHeight="14.6" x14ac:dyDescent="0.4"/>
  <cols>
    <col min="1" max="1" width="36" customWidth="1"/>
    <col min="2" max="2" width="18" customWidth="1"/>
  </cols>
  <sheetData>
    <row r="1" spans="1:2" ht="15.9" customHeight="1" x14ac:dyDescent="0.45">
      <c r="A1" s="34" t="s">
        <v>309</v>
      </c>
    </row>
    <row r="2" spans="1:2" x14ac:dyDescent="0.4">
      <c r="A2" s="2" t="s">
        <v>310</v>
      </c>
    </row>
    <row r="4" spans="1:2" x14ac:dyDescent="0.4">
      <c r="A4" s="4" t="s">
        <v>311</v>
      </c>
      <c r="B4" s="30" t="s">
        <v>312</v>
      </c>
    </row>
    <row r="5" spans="1:2" x14ac:dyDescent="0.4">
      <c r="A5" s="4" t="s">
        <v>313</v>
      </c>
      <c r="B5" s="30" t="s">
        <v>314</v>
      </c>
    </row>
    <row r="6" spans="1:2" x14ac:dyDescent="0.4">
      <c r="A6" s="4" t="s">
        <v>315</v>
      </c>
      <c r="B6" s="30" t="s">
        <v>316</v>
      </c>
    </row>
    <row r="7" spans="1:2" x14ac:dyDescent="0.4">
      <c r="A7" s="4" t="s">
        <v>317</v>
      </c>
      <c r="B7" s="30" t="s">
        <v>318</v>
      </c>
    </row>
    <row r="8" spans="1:2" x14ac:dyDescent="0.4">
      <c r="A8" s="4" t="s">
        <v>319</v>
      </c>
      <c r="B8" s="30" t="s">
        <v>320</v>
      </c>
    </row>
    <row r="9" spans="1:2" x14ac:dyDescent="0.4">
      <c r="A9" s="4" t="s">
        <v>321</v>
      </c>
      <c r="B9" s="30" t="s">
        <v>322</v>
      </c>
    </row>
    <row r="10" spans="1:2" x14ac:dyDescent="0.4">
      <c r="A10" s="4" t="s">
        <v>323</v>
      </c>
      <c r="B10" s="30" t="s">
        <v>220</v>
      </c>
    </row>
    <row r="11" spans="1:2" x14ac:dyDescent="0.4">
      <c r="A11" s="4" t="s">
        <v>324</v>
      </c>
      <c r="B11" s="30" t="s">
        <v>325</v>
      </c>
    </row>
    <row r="12" spans="1:2" x14ac:dyDescent="0.4">
      <c r="A12" s="4" t="s">
        <v>326</v>
      </c>
      <c r="B12" s="30" t="s">
        <v>327</v>
      </c>
    </row>
    <row r="13" spans="1:2" x14ac:dyDescent="0.4">
      <c r="A13" s="4" t="s">
        <v>328</v>
      </c>
      <c r="B13" s="30" t="s">
        <v>329</v>
      </c>
    </row>
    <row r="14" spans="1:2" x14ac:dyDescent="0.4">
      <c r="A14" s="4" t="s">
        <v>330</v>
      </c>
      <c r="B14" s="30" t="s">
        <v>218</v>
      </c>
    </row>
    <row r="15" spans="1:2" x14ac:dyDescent="0.4">
      <c r="A15" s="4" t="s">
        <v>331</v>
      </c>
      <c r="B15" s="30" t="s">
        <v>220</v>
      </c>
    </row>
    <row r="16" spans="1:2" x14ac:dyDescent="0.4">
      <c r="A16" s="4" t="s">
        <v>332</v>
      </c>
      <c r="B16" s="30" t="s">
        <v>222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23</vt:i4>
      </vt:variant>
    </vt:vector>
  </HeadingPairs>
  <TitlesOfParts>
    <vt:vector size="31" baseType="lpstr">
      <vt:lpstr>Inputs</vt:lpstr>
      <vt:lpstr>DCF Base</vt:lpstr>
      <vt:lpstr>DCF Bull</vt:lpstr>
      <vt:lpstr>DCF Bear</vt:lpstr>
      <vt:lpstr>Adjustments</vt:lpstr>
      <vt:lpstr>Szenarien</vt:lpstr>
      <vt:lpstr>Markt-implizit</vt:lpstr>
      <vt:lpstr>Outputs</vt:lpstr>
      <vt:lpstr>OUT_EQUITY</vt:lpstr>
      <vt:lpstr>OUT_GROUP_EV</vt:lpstr>
      <vt:lpstr>OUT_MINORITY</vt:lpstr>
      <vt:lpstr>OUT_NET_DEBT</vt:lpstr>
      <vt:lpstr>OUT_PRICE_TARGET</vt:lpstr>
      <vt:lpstr>OUT_SEG_EV_1</vt:lpstr>
      <vt:lpstr>OUT_SEG_EV_2</vt:lpstr>
      <vt:lpstr>OUT_SEG_EV_3</vt:lpstr>
      <vt:lpstr>OUT_SEG_EV_4</vt:lpstr>
      <vt:lpstr>OUT_SEG_EV_5</vt:lpstr>
      <vt:lpstr>OUT_SEG_EV_6</vt:lpstr>
      <vt:lpstr>OUT_SEG_EV_7</vt:lpstr>
      <vt:lpstr>OUT_SEG_EV_8</vt:lpstr>
      <vt:lpstr>OUT_SEG_WACC_1</vt:lpstr>
      <vt:lpstr>OUT_SEG_WACC_2</vt:lpstr>
      <vt:lpstr>OUT_SEG_WACC_3</vt:lpstr>
      <vt:lpstr>OUT_SEG_WACC_4</vt:lpstr>
      <vt:lpstr>OUT_SEG_WACC_5</vt:lpstr>
      <vt:lpstr>OUT_SEG_WACC_6</vt:lpstr>
      <vt:lpstr>OUT_SEG_WACC_7</vt:lpstr>
      <vt:lpstr>OUT_SEG_WACC_8</vt:lpstr>
      <vt:lpstr>OUT_SHARES</vt:lpstr>
      <vt:lpstr>OUT_WACC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Jannick Wrage</cp:lastModifiedBy>
  <dcterms:created xsi:type="dcterms:W3CDTF">2026-07-27T11:26:06Z</dcterms:created>
  <dcterms:modified xsi:type="dcterms:W3CDTF">2026-08-04T19:28:24Z</dcterms:modified>
</cp:coreProperties>
</file>