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janni\Documents\Claude\Projects\FinSurf\output\SGL_Carbon\2026-08-05_run1\"/>
    </mc:Choice>
  </mc:AlternateContent>
  <xr:revisionPtr revIDLastSave="0" documentId="13_ncr:1_{C8095A22-8AA8-4483-BDCA-79A6C2574BFE}" xr6:coauthVersionLast="47" xr6:coauthVersionMax="47" xr10:uidLastSave="{00000000-0000-0000-0000-000000000000}"/>
  <bookViews>
    <workbookView xWindow="2966" yWindow="2957" windowWidth="18514" windowHeight="9394" xr2:uid="{00000000-000D-0000-FFFF-FFFF00000000}"/>
  </bookViews>
  <sheets>
    <sheet name="Inputs" sheetId="1" r:id="rId1"/>
    <sheet name="DCF Base" sheetId="2" r:id="rId2"/>
    <sheet name="DCF Bull" sheetId="3" r:id="rId3"/>
    <sheet name="DCF Bear" sheetId="4" r:id="rId4"/>
    <sheet name="Adjustments" sheetId="5" r:id="rId5"/>
    <sheet name="Szenarien" sheetId="6" r:id="rId6"/>
    <sheet name="Markt-implizit" sheetId="7" r:id="rId7"/>
    <sheet name="Outputs" sheetId="8" r:id="rId8"/>
  </sheets>
  <definedNames>
    <definedName name="OUT_EQUITY">'DCF Base'!$K$119</definedName>
    <definedName name="OUT_GROUP_EV">'DCF Base'!$K$109</definedName>
    <definedName name="OUT_MINORITY">Inputs!$B$15</definedName>
    <definedName name="OUT_NET_DEBT">Inputs!$B$14</definedName>
    <definedName name="OUT_PRICE_TARGET">'DCF Base'!$K$122</definedName>
    <definedName name="OUT_SEG_EV_1">'DCF Base'!$C$109</definedName>
    <definedName name="OUT_SEG_EV_2">'DCF Base'!$D$109</definedName>
    <definedName name="OUT_SEG_EV_3">'DCF Base'!$E$109</definedName>
    <definedName name="OUT_SEG_EV_4">'DCF Base'!$F$109</definedName>
    <definedName name="OUT_SEG_EV_5">'DCF Base'!$G$109</definedName>
    <definedName name="OUT_SEG_EV_6">'DCF Base'!$H$109</definedName>
    <definedName name="OUT_SEG_EV_7">'DCF Base'!$I$109</definedName>
    <definedName name="OUT_SEG_EV_8">'DCF Base'!$J$109</definedName>
    <definedName name="OUT_SEG_WACC_1">'DCF Base'!$C$16</definedName>
    <definedName name="OUT_SEG_WACC_2">'DCF Base'!$D$16</definedName>
    <definedName name="OUT_SEG_WACC_3">'DCF Base'!$E$16</definedName>
    <definedName name="OUT_SEG_WACC_4">'DCF Base'!$F$16</definedName>
    <definedName name="OUT_SEG_WACC_5">'DCF Base'!$G$16</definedName>
    <definedName name="OUT_SEG_WACC_6">'DCF Base'!$H$16</definedName>
    <definedName name="OUT_SEG_WACC_7">'DCF Base'!$I$16</definedName>
    <definedName name="OUT_SEG_WACC_8">'DCF Base'!$J$16</definedName>
    <definedName name="OUT_SHARES">Inputs!$B$11</definedName>
    <definedName name="OUT_WACC">'DCF Base'!$K$110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86" i="7" l="1"/>
  <c r="B85" i="7"/>
  <c r="B84" i="7"/>
  <c r="B83" i="7"/>
  <c r="B26" i="7"/>
  <c r="B37" i="7" s="1"/>
  <c r="B48" i="7" s="1"/>
  <c r="C25" i="7"/>
  <c r="B25" i="7"/>
  <c r="B36" i="7" s="1"/>
  <c r="B47" i="7" s="1"/>
  <c r="E24" i="7"/>
  <c r="D24" i="7"/>
  <c r="C24" i="7"/>
  <c r="B24" i="7"/>
  <c r="B35" i="7" s="1"/>
  <c r="B46" i="7" s="1"/>
  <c r="E23" i="7"/>
  <c r="D23" i="7"/>
  <c r="C23" i="7"/>
  <c r="B23" i="7"/>
  <c r="B34" i="7" s="1"/>
  <c r="B45" i="7" s="1"/>
  <c r="E22" i="7"/>
  <c r="D22" i="7"/>
  <c r="C22" i="7"/>
  <c r="B22" i="7"/>
  <c r="B33" i="7" s="1"/>
  <c r="B44" i="7" s="1"/>
  <c r="E20" i="7"/>
  <c r="D20" i="7"/>
  <c r="C20" i="7"/>
  <c r="E19" i="7"/>
  <c r="D19" i="7"/>
  <c r="C19" i="7"/>
  <c r="E18" i="7"/>
  <c r="D18" i="7"/>
  <c r="C18" i="7"/>
  <c r="E17" i="7"/>
  <c r="D17" i="7"/>
  <c r="C17" i="7"/>
  <c r="D16" i="7"/>
  <c r="C16" i="7"/>
  <c r="E15" i="7"/>
  <c r="D15" i="7"/>
  <c r="C15" i="7"/>
  <c r="E14" i="7"/>
  <c r="D14" i="7"/>
  <c r="C14" i="7"/>
  <c r="E13" i="7"/>
  <c r="C13" i="7"/>
  <c r="C35" i="7" s="1"/>
  <c r="C46" i="7" s="1"/>
  <c r="E12" i="7"/>
  <c r="D12" i="7"/>
  <c r="C12" i="7"/>
  <c r="E11" i="7"/>
  <c r="D11" i="7"/>
  <c r="E10" i="7"/>
  <c r="E26" i="7" s="1"/>
  <c r="D10" i="7"/>
  <c r="D26" i="7" s="1"/>
  <c r="C10" i="7"/>
  <c r="C26" i="7" s="1"/>
  <c r="B6" i="7"/>
  <c r="D9" i="5"/>
  <c r="D8" i="5"/>
  <c r="D7" i="5"/>
  <c r="D6" i="5"/>
  <c r="D5" i="5"/>
  <c r="D11" i="5" s="1"/>
  <c r="D12" i="5" s="1"/>
  <c r="K120" i="4"/>
  <c r="J106" i="4"/>
  <c r="I106" i="4"/>
  <c r="H106" i="4"/>
  <c r="G106" i="4"/>
  <c r="F106" i="4"/>
  <c r="J73" i="4"/>
  <c r="I73" i="4"/>
  <c r="H73" i="4"/>
  <c r="G73" i="4"/>
  <c r="F73" i="4"/>
  <c r="E73" i="4"/>
  <c r="D73" i="4"/>
  <c r="C73" i="4"/>
  <c r="J72" i="4"/>
  <c r="I72" i="4"/>
  <c r="H72" i="4"/>
  <c r="G72" i="4"/>
  <c r="F72" i="4"/>
  <c r="E72" i="4"/>
  <c r="D72" i="4"/>
  <c r="C72" i="4"/>
  <c r="J71" i="4"/>
  <c r="I71" i="4"/>
  <c r="H71" i="4"/>
  <c r="G71" i="4"/>
  <c r="F71" i="4"/>
  <c r="E71" i="4"/>
  <c r="D71" i="4"/>
  <c r="C71" i="4"/>
  <c r="J70" i="4"/>
  <c r="I70" i="4"/>
  <c r="H70" i="4"/>
  <c r="G70" i="4"/>
  <c r="F70" i="4"/>
  <c r="E70" i="4"/>
  <c r="D70" i="4"/>
  <c r="C70" i="4"/>
  <c r="J69" i="4"/>
  <c r="I69" i="4"/>
  <c r="H69" i="4"/>
  <c r="G69" i="4"/>
  <c r="F69" i="4"/>
  <c r="E69" i="4"/>
  <c r="D69" i="4"/>
  <c r="C69" i="4"/>
  <c r="E63" i="4"/>
  <c r="D63" i="4"/>
  <c r="E49" i="4"/>
  <c r="D49" i="4"/>
  <c r="H48" i="4"/>
  <c r="G48" i="4"/>
  <c r="F46" i="4"/>
  <c r="J45" i="4"/>
  <c r="I45" i="4"/>
  <c r="G45" i="4"/>
  <c r="F45" i="4"/>
  <c r="E45" i="4"/>
  <c r="D45" i="4"/>
  <c r="E36" i="4"/>
  <c r="E42" i="4" s="1"/>
  <c r="E54" i="4" s="1"/>
  <c r="F34" i="4"/>
  <c r="F40" i="4" s="1"/>
  <c r="E34" i="4"/>
  <c r="E40" i="4" s="1"/>
  <c r="E52" i="4" s="1"/>
  <c r="D34" i="4"/>
  <c r="D40" i="4" s="1"/>
  <c r="D52" i="4" s="1"/>
  <c r="C34" i="4"/>
  <c r="C40" i="4" s="1"/>
  <c r="C52" i="4" s="1"/>
  <c r="J33" i="4"/>
  <c r="J39" i="4" s="1"/>
  <c r="J51" i="4" s="1"/>
  <c r="I33" i="4"/>
  <c r="I39" i="4" s="1"/>
  <c r="I51" i="4" s="1"/>
  <c r="H33" i="4"/>
  <c r="H39" i="4" s="1"/>
  <c r="H51" i="4" s="1"/>
  <c r="G33" i="4"/>
  <c r="G39" i="4" s="1"/>
  <c r="J31" i="4"/>
  <c r="I31" i="4"/>
  <c r="H31" i="4"/>
  <c r="G31" i="4"/>
  <c r="F31" i="4"/>
  <c r="E31" i="4"/>
  <c r="D31" i="4"/>
  <c r="D37" i="4" s="1"/>
  <c r="D43" i="4" s="1"/>
  <c r="C31" i="4"/>
  <c r="J30" i="4"/>
  <c r="I30" i="4"/>
  <c r="I36" i="4" s="1"/>
  <c r="I42" i="4" s="1"/>
  <c r="I54" i="4" s="1"/>
  <c r="H30" i="4"/>
  <c r="H36" i="4" s="1"/>
  <c r="H42" i="4" s="1"/>
  <c r="H54" i="4" s="1"/>
  <c r="G30" i="4"/>
  <c r="G36" i="4" s="1"/>
  <c r="G42" i="4" s="1"/>
  <c r="G54" i="4" s="1"/>
  <c r="F30" i="4"/>
  <c r="F36" i="4" s="1"/>
  <c r="F42" i="4" s="1"/>
  <c r="F54" i="4" s="1"/>
  <c r="E30" i="4"/>
  <c r="D30" i="4"/>
  <c r="D36" i="4" s="1"/>
  <c r="D42" i="4" s="1"/>
  <c r="D54" i="4" s="1"/>
  <c r="C30" i="4"/>
  <c r="J29" i="4"/>
  <c r="I29" i="4"/>
  <c r="H29" i="4"/>
  <c r="G29" i="4"/>
  <c r="F29" i="4"/>
  <c r="E29" i="4"/>
  <c r="D29" i="4"/>
  <c r="C29" i="4"/>
  <c r="J28" i="4"/>
  <c r="I28" i="4"/>
  <c r="H28" i="4"/>
  <c r="G28" i="4"/>
  <c r="F28" i="4"/>
  <c r="E28" i="4"/>
  <c r="D28" i="4"/>
  <c r="C28" i="4"/>
  <c r="J27" i="4"/>
  <c r="I27" i="4"/>
  <c r="H27" i="4"/>
  <c r="G27" i="4"/>
  <c r="F27" i="4"/>
  <c r="F33" i="4" s="1"/>
  <c r="F39" i="4" s="1"/>
  <c r="E27" i="4"/>
  <c r="D27" i="4"/>
  <c r="C27" i="4"/>
  <c r="J25" i="4"/>
  <c r="I25" i="4"/>
  <c r="I63" i="4" s="1"/>
  <c r="H25" i="4"/>
  <c r="H37" i="4" s="1"/>
  <c r="H43" i="4" s="1"/>
  <c r="G25" i="4"/>
  <c r="G63" i="4" s="1"/>
  <c r="F25" i="4"/>
  <c r="F37" i="4" s="1"/>
  <c r="F43" i="4" s="1"/>
  <c r="E25" i="4"/>
  <c r="E37" i="4" s="1"/>
  <c r="E43" i="4" s="1"/>
  <c r="D25" i="4"/>
  <c r="C25" i="4"/>
  <c r="C37" i="4" s="1"/>
  <c r="C43" i="4" s="1"/>
  <c r="J24" i="4"/>
  <c r="J48" i="4" s="1"/>
  <c r="I24" i="4"/>
  <c r="I48" i="4" s="1"/>
  <c r="H24" i="4"/>
  <c r="G24" i="4"/>
  <c r="F24" i="4"/>
  <c r="F48" i="4" s="1"/>
  <c r="E24" i="4"/>
  <c r="E48" i="4" s="1"/>
  <c r="D24" i="4"/>
  <c r="D48" i="4" s="1"/>
  <c r="C24" i="4"/>
  <c r="J23" i="4"/>
  <c r="J47" i="4" s="1"/>
  <c r="I23" i="4"/>
  <c r="H23" i="4"/>
  <c r="G23" i="4"/>
  <c r="F23" i="4"/>
  <c r="E23" i="4"/>
  <c r="D23" i="4"/>
  <c r="C23" i="4"/>
  <c r="C47" i="4" s="1"/>
  <c r="J22" i="4"/>
  <c r="J34" i="4" s="1"/>
  <c r="J40" i="4" s="1"/>
  <c r="I22" i="4"/>
  <c r="H22" i="4"/>
  <c r="G22" i="4"/>
  <c r="G34" i="4" s="1"/>
  <c r="G40" i="4" s="1"/>
  <c r="F22" i="4"/>
  <c r="E22" i="4"/>
  <c r="E46" i="4" s="1"/>
  <c r="D22" i="4"/>
  <c r="D46" i="4" s="1"/>
  <c r="C22" i="4"/>
  <c r="C46" i="4" s="1"/>
  <c r="J21" i="4"/>
  <c r="I21" i="4"/>
  <c r="H21" i="4"/>
  <c r="H45" i="4" s="1"/>
  <c r="G21" i="4"/>
  <c r="F21" i="4"/>
  <c r="E21" i="4"/>
  <c r="D21" i="4"/>
  <c r="C21" i="4"/>
  <c r="K120" i="3"/>
  <c r="J106" i="3"/>
  <c r="I106" i="3"/>
  <c r="H106" i="3"/>
  <c r="G106" i="3"/>
  <c r="F106" i="3"/>
  <c r="J75" i="3"/>
  <c r="J81" i="3" s="1"/>
  <c r="J73" i="3"/>
  <c r="I73" i="3"/>
  <c r="H73" i="3"/>
  <c r="G73" i="3"/>
  <c r="F73" i="3"/>
  <c r="E73" i="3"/>
  <c r="D73" i="3"/>
  <c r="C73" i="3"/>
  <c r="J72" i="3"/>
  <c r="I72" i="3"/>
  <c r="H72" i="3"/>
  <c r="G72" i="3"/>
  <c r="F72" i="3"/>
  <c r="E72" i="3"/>
  <c r="D72" i="3"/>
  <c r="C72" i="3"/>
  <c r="J71" i="3"/>
  <c r="I71" i="3"/>
  <c r="H71" i="3"/>
  <c r="G71" i="3"/>
  <c r="F71" i="3"/>
  <c r="E71" i="3"/>
  <c r="D71" i="3"/>
  <c r="C71" i="3"/>
  <c r="J70" i="3"/>
  <c r="I70" i="3"/>
  <c r="H70" i="3"/>
  <c r="G70" i="3"/>
  <c r="F70" i="3"/>
  <c r="E70" i="3"/>
  <c r="D70" i="3"/>
  <c r="C70" i="3"/>
  <c r="J69" i="3"/>
  <c r="I69" i="3"/>
  <c r="H69" i="3"/>
  <c r="G69" i="3"/>
  <c r="F69" i="3"/>
  <c r="E69" i="3"/>
  <c r="D69" i="3"/>
  <c r="C69" i="3"/>
  <c r="H64" i="3"/>
  <c r="H65" i="3" s="1"/>
  <c r="J63" i="3"/>
  <c r="F63" i="3"/>
  <c r="F64" i="3" s="1"/>
  <c r="J49" i="3"/>
  <c r="E47" i="3"/>
  <c r="D47" i="3"/>
  <c r="C47" i="3"/>
  <c r="J46" i="3"/>
  <c r="I46" i="3"/>
  <c r="H46" i="3"/>
  <c r="G46" i="3"/>
  <c r="F46" i="3"/>
  <c r="F45" i="3"/>
  <c r="J37" i="3"/>
  <c r="J43" i="3" s="1"/>
  <c r="E35" i="3"/>
  <c r="E41" i="3" s="1"/>
  <c r="E53" i="3" s="1"/>
  <c r="D35" i="3"/>
  <c r="D41" i="3" s="1"/>
  <c r="D53" i="3" s="1"/>
  <c r="J34" i="3"/>
  <c r="J40" i="3" s="1"/>
  <c r="J52" i="3" s="1"/>
  <c r="I34" i="3"/>
  <c r="I40" i="3" s="1"/>
  <c r="I52" i="3" s="1"/>
  <c r="J31" i="3"/>
  <c r="I31" i="3"/>
  <c r="H31" i="3"/>
  <c r="H37" i="3" s="1"/>
  <c r="H43" i="3" s="1"/>
  <c r="G31" i="3"/>
  <c r="F31" i="3"/>
  <c r="F37" i="3" s="1"/>
  <c r="F43" i="3" s="1"/>
  <c r="E31" i="3"/>
  <c r="D31" i="3"/>
  <c r="C31" i="3"/>
  <c r="J30" i="3"/>
  <c r="I30" i="3"/>
  <c r="I36" i="3" s="1"/>
  <c r="I42" i="3" s="1"/>
  <c r="I54" i="3" s="1"/>
  <c r="H30" i="3"/>
  <c r="G30" i="3"/>
  <c r="F30" i="3"/>
  <c r="E30" i="3"/>
  <c r="D30" i="3"/>
  <c r="C30" i="3"/>
  <c r="J29" i="3"/>
  <c r="I29" i="3"/>
  <c r="H29" i="3"/>
  <c r="G29" i="3"/>
  <c r="F29" i="3"/>
  <c r="E29" i="3"/>
  <c r="D29" i="3"/>
  <c r="C29" i="3"/>
  <c r="J28" i="3"/>
  <c r="I28" i="3"/>
  <c r="H28" i="3"/>
  <c r="H34" i="3" s="1"/>
  <c r="H40" i="3" s="1"/>
  <c r="G28" i="3"/>
  <c r="F28" i="3"/>
  <c r="E28" i="3"/>
  <c r="D28" i="3"/>
  <c r="C28" i="3"/>
  <c r="J27" i="3"/>
  <c r="I27" i="3"/>
  <c r="H27" i="3"/>
  <c r="G27" i="3"/>
  <c r="F27" i="3"/>
  <c r="E27" i="3"/>
  <c r="D27" i="3"/>
  <c r="C27" i="3"/>
  <c r="J25" i="3"/>
  <c r="I25" i="3"/>
  <c r="I49" i="3" s="1"/>
  <c r="H25" i="3"/>
  <c r="H63" i="3" s="1"/>
  <c r="G25" i="3"/>
  <c r="F25" i="3"/>
  <c r="F49" i="3" s="1"/>
  <c r="E25" i="3"/>
  <c r="E49" i="3" s="1"/>
  <c r="D25" i="3"/>
  <c r="C25" i="3"/>
  <c r="C49" i="3" s="1"/>
  <c r="J24" i="3"/>
  <c r="I24" i="3"/>
  <c r="I48" i="3" s="1"/>
  <c r="H24" i="3"/>
  <c r="G24" i="3"/>
  <c r="F24" i="3"/>
  <c r="F48" i="3" s="1"/>
  <c r="E24" i="3"/>
  <c r="E48" i="3" s="1"/>
  <c r="D24" i="3"/>
  <c r="D48" i="3" s="1"/>
  <c r="C24" i="3"/>
  <c r="C48" i="3" s="1"/>
  <c r="J23" i="3"/>
  <c r="J47" i="3" s="1"/>
  <c r="I23" i="3"/>
  <c r="I47" i="3" s="1"/>
  <c r="H23" i="3"/>
  <c r="H47" i="3" s="1"/>
  <c r="G23" i="3"/>
  <c r="G47" i="3" s="1"/>
  <c r="F23" i="3"/>
  <c r="F35" i="3" s="1"/>
  <c r="F41" i="3" s="1"/>
  <c r="E23" i="3"/>
  <c r="D23" i="3"/>
  <c r="C23" i="3"/>
  <c r="J22" i="3"/>
  <c r="I22" i="3"/>
  <c r="H22" i="3"/>
  <c r="G22" i="3"/>
  <c r="F22" i="3"/>
  <c r="E22" i="3"/>
  <c r="D22" i="3"/>
  <c r="C22" i="3"/>
  <c r="J21" i="3"/>
  <c r="I21" i="3"/>
  <c r="H21" i="3"/>
  <c r="G21" i="3"/>
  <c r="G45" i="3" s="1"/>
  <c r="F21" i="3"/>
  <c r="F33" i="3" s="1"/>
  <c r="F39" i="3" s="1"/>
  <c r="F51" i="3" s="1"/>
  <c r="E21" i="3"/>
  <c r="E45" i="3" s="1"/>
  <c r="D21" i="3"/>
  <c r="D45" i="3" s="1"/>
  <c r="C21" i="3"/>
  <c r="C45" i="3" s="1"/>
  <c r="K120" i="2"/>
  <c r="J106" i="2"/>
  <c r="I106" i="2"/>
  <c r="H106" i="2"/>
  <c r="G106" i="2"/>
  <c r="F106" i="2"/>
  <c r="J73" i="2"/>
  <c r="I73" i="2"/>
  <c r="H73" i="2"/>
  <c r="G73" i="2"/>
  <c r="F73" i="2"/>
  <c r="E73" i="2"/>
  <c r="D73" i="2"/>
  <c r="C73" i="2"/>
  <c r="J72" i="2"/>
  <c r="I72" i="2"/>
  <c r="H72" i="2"/>
  <c r="G72" i="2"/>
  <c r="F72" i="2"/>
  <c r="E72" i="2"/>
  <c r="D72" i="2"/>
  <c r="C72" i="2"/>
  <c r="J71" i="2"/>
  <c r="I71" i="2"/>
  <c r="H71" i="2"/>
  <c r="G71" i="2"/>
  <c r="F71" i="2"/>
  <c r="E71" i="2"/>
  <c r="D71" i="2"/>
  <c r="C71" i="2"/>
  <c r="J70" i="2"/>
  <c r="J76" i="2" s="1"/>
  <c r="J82" i="2" s="1"/>
  <c r="J94" i="2" s="1"/>
  <c r="I70" i="2"/>
  <c r="H70" i="2"/>
  <c r="G70" i="2"/>
  <c r="F70" i="2"/>
  <c r="E70" i="2"/>
  <c r="D70" i="2"/>
  <c r="C70" i="2"/>
  <c r="J69" i="2"/>
  <c r="J75" i="2" s="1"/>
  <c r="J81" i="2" s="1"/>
  <c r="I69" i="2"/>
  <c r="H69" i="2"/>
  <c r="G69" i="2"/>
  <c r="F69" i="2"/>
  <c r="E69" i="2"/>
  <c r="D69" i="2"/>
  <c r="C69" i="2"/>
  <c r="J63" i="2"/>
  <c r="J64" i="2" s="1"/>
  <c r="J88" i="2" s="1"/>
  <c r="H49" i="2"/>
  <c r="D49" i="2"/>
  <c r="C49" i="2"/>
  <c r="J48" i="2"/>
  <c r="I48" i="2"/>
  <c r="H48" i="2"/>
  <c r="G48" i="2"/>
  <c r="F48" i="2"/>
  <c r="F47" i="2"/>
  <c r="F46" i="2"/>
  <c r="J37" i="2"/>
  <c r="J43" i="2" s="1"/>
  <c r="J55" i="2" s="1"/>
  <c r="I37" i="2"/>
  <c r="I43" i="2" s="1"/>
  <c r="H37" i="2"/>
  <c r="H43" i="2" s="1"/>
  <c r="H55" i="2" s="1"/>
  <c r="G37" i="2"/>
  <c r="G43" i="2" s="1"/>
  <c r="F35" i="2"/>
  <c r="F41" i="2" s="1"/>
  <c r="F53" i="2" s="1"/>
  <c r="J31" i="2"/>
  <c r="I31" i="2"/>
  <c r="H31" i="2"/>
  <c r="G31" i="2"/>
  <c r="F31" i="2"/>
  <c r="E31" i="2"/>
  <c r="D31" i="2"/>
  <c r="D37" i="2" s="1"/>
  <c r="D43" i="2" s="1"/>
  <c r="D55" i="2" s="1"/>
  <c r="C31" i="2"/>
  <c r="C37" i="2" s="1"/>
  <c r="C43" i="2" s="1"/>
  <c r="J30" i="2"/>
  <c r="I30" i="2"/>
  <c r="H30" i="2"/>
  <c r="G30" i="2"/>
  <c r="F30" i="2"/>
  <c r="E30" i="2"/>
  <c r="D30" i="2"/>
  <c r="C30" i="2"/>
  <c r="J29" i="2"/>
  <c r="I29" i="2"/>
  <c r="H29" i="2"/>
  <c r="G29" i="2"/>
  <c r="F29" i="2"/>
  <c r="E29" i="2"/>
  <c r="D29" i="2"/>
  <c r="D35" i="2" s="1"/>
  <c r="D41" i="2" s="1"/>
  <c r="D53" i="2" s="1"/>
  <c r="C29" i="2"/>
  <c r="J28" i="2"/>
  <c r="I28" i="2"/>
  <c r="H28" i="2"/>
  <c r="G28" i="2"/>
  <c r="F28" i="2"/>
  <c r="E28" i="2"/>
  <c r="D28" i="2"/>
  <c r="C28" i="2"/>
  <c r="J27" i="2"/>
  <c r="I27" i="2"/>
  <c r="H27" i="2"/>
  <c r="G27" i="2"/>
  <c r="F27" i="2"/>
  <c r="E27" i="2"/>
  <c r="D27" i="2"/>
  <c r="C27" i="2"/>
  <c r="J25" i="2"/>
  <c r="J49" i="2" s="1"/>
  <c r="I25" i="2"/>
  <c r="H25" i="2"/>
  <c r="H63" i="2" s="1"/>
  <c r="H87" i="2" s="1"/>
  <c r="G25" i="2"/>
  <c r="F25" i="2"/>
  <c r="E25" i="2"/>
  <c r="D25" i="2"/>
  <c r="D63" i="2" s="1"/>
  <c r="D75" i="2" s="1"/>
  <c r="D81" i="2" s="1"/>
  <c r="C25" i="2"/>
  <c r="C63" i="2" s="1"/>
  <c r="C87" i="2" s="1"/>
  <c r="J24" i="2"/>
  <c r="I24" i="2"/>
  <c r="H24" i="2"/>
  <c r="G24" i="2"/>
  <c r="F24" i="2"/>
  <c r="E24" i="2"/>
  <c r="D24" i="2"/>
  <c r="D48" i="2" s="1"/>
  <c r="C24" i="2"/>
  <c r="J23" i="2"/>
  <c r="J35" i="2" s="1"/>
  <c r="J41" i="2" s="1"/>
  <c r="I23" i="2"/>
  <c r="I47" i="2" s="1"/>
  <c r="H23" i="2"/>
  <c r="H47" i="2" s="1"/>
  <c r="G23" i="2"/>
  <c r="G47" i="2" s="1"/>
  <c r="F23" i="2"/>
  <c r="E23" i="2"/>
  <c r="D23" i="2"/>
  <c r="D47" i="2" s="1"/>
  <c r="C23" i="2"/>
  <c r="J22" i="2"/>
  <c r="J46" i="2" s="1"/>
  <c r="I22" i="2"/>
  <c r="H22" i="2"/>
  <c r="G22" i="2"/>
  <c r="F22" i="2"/>
  <c r="F34" i="2" s="1"/>
  <c r="F40" i="2" s="1"/>
  <c r="F52" i="2" s="1"/>
  <c r="E22" i="2"/>
  <c r="E46" i="2" s="1"/>
  <c r="D22" i="2"/>
  <c r="D46" i="2" s="1"/>
  <c r="C22" i="2"/>
  <c r="C46" i="2" s="1"/>
  <c r="J21" i="2"/>
  <c r="J45" i="2" s="1"/>
  <c r="I21" i="2"/>
  <c r="I45" i="2" s="1"/>
  <c r="H21" i="2"/>
  <c r="H45" i="2" s="1"/>
  <c r="G21" i="2"/>
  <c r="F21" i="2"/>
  <c r="F45" i="2" s="1"/>
  <c r="E21" i="2"/>
  <c r="E33" i="2" s="1"/>
  <c r="E39" i="2" s="1"/>
  <c r="D21" i="2"/>
  <c r="D33" i="2" s="1"/>
  <c r="D39" i="2" s="1"/>
  <c r="C21" i="2"/>
  <c r="C33" i="2" s="1"/>
  <c r="C39" i="2" s="1"/>
  <c r="B37" i="1"/>
  <c r="B38" i="1" s="1"/>
  <c r="G104" i="3" s="1"/>
  <c r="B30" i="1"/>
  <c r="B29" i="1"/>
  <c r="B28" i="1"/>
  <c r="B23" i="1"/>
  <c r="B26" i="1" s="1"/>
  <c r="B14" i="1"/>
  <c r="F53" i="3" l="1"/>
  <c r="H35" i="2"/>
  <c r="H41" i="2" s="1"/>
  <c r="H53" i="2" s="1"/>
  <c r="I35" i="2"/>
  <c r="I41" i="2" s="1"/>
  <c r="I53" i="2" s="1"/>
  <c r="F63" i="4"/>
  <c r="F87" i="4" s="1"/>
  <c r="C36" i="2"/>
  <c r="C42" i="2" s="1"/>
  <c r="J35" i="3"/>
  <c r="J41" i="3" s="1"/>
  <c r="J53" i="3" s="1"/>
  <c r="C36" i="3"/>
  <c r="C42" i="3" s="1"/>
  <c r="C54" i="3" s="1"/>
  <c r="C55" i="2"/>
  <c r="I33" i="3"/>
  <c r="I39" i="3" s="1"/>
  <c r="I51" i="3" s="1"/>
  <c r="I57" i="3" s="1"/>
  <c r="D36" i="3"/>
  <c r="D42" i="3" s="1"/>
  <c r="D54" i="3" s="1"/>
  <c r="D60" i="3" s="1"/>
  <c r="E35" i="7"/>
  <c r="E46" i="7" s="1"/>
  <c r="C45" i="2"/>
  <c r="C51" i="2" s="1"/>
  <c r="C57" i="2" s="1"/>
  <c r="D45" i="2"/>
  <c r="D51" i="2" s="1"/>
  <c r="E45" i="2"/>
  <c r="E51" i="2" s="1"/>
  <c r="E57" i="2" s="1"/>
  <c r="G49" i="4"/>
  <c r="G34" i="3"/>
  <c r="G40" i="3" s="1"/>
  <c r="G52" i="3" s="1"/>
  <c r="G58" i="3" s="1"/>
  <c r="H49" i="4"/>
  <c r="B27" i="7"/>
  <c r="B38" i="7" s="1"/>
  <c r="B49" i="7" s="1"/>
  <c r="G35" i="3"/>
  <c r="G41" i="3" s="1"/>
  <c r="G53" i="3" s="1"/>
  <c r="J46" i="4"/>
  <c r="J52" i="4" s="1"/>
  <c r="F47" i="3"/>
  <c r="F52" i="4"/>
  <c r="I49" i="4"/>
  <c r="J65" i="2"/>
  <c r="J89" i="2" s="1"/>
  <c r="J87" i="2"/>
  <c r="J93" i="2" s="1"/>
  <c r="J99" i="2" s="1"/>
  <c r="C33" i="3"/>
  <c r="C39" i="3" s="1"/>
  <c r="C51" i="3" s="1"/>
  <c r="C33" i="7"/>
  <c r="C44" i="7" s="1"/>
  <c r="J47" i="2"/>
  <c r="J53" i="2" s="1"/>
  <c r="J59" i="2" s="1"/>
  <c r="H63" i="4"/>
  <c r="F33" i="2"/>
  <c r="F39" i="2" s="1"/>
  <c r="F51" i="2" s="1"/>
  <c r="F51" i="4"/>
  <c r="F49" i="4"/>
  <c r="G35" i="2"/>
  <c r="G41" i="2" s="1"/>
  <c r="G53" i="2" s="1"/>
  <c r="I35" i="3"/>
  <c r="I41" i="3" s="1"/>
  <c r="I53" i="3" s="1"/>
  <c r="E33" i="3"/>
  <c r="E39" i="3" s="1"/>
  <c r="E51" i="3" s="1"/>
  <c r="E57" i="3" s="1"/>
  <c r="F55" i="4"/>
  <c r="F87" i="3"/>
  <c r="F36" i="2"/>
  <c r="F42" i="2" s="1"/>
  <c r="F54" i="2" s="1"/>
  <c r="F60" i="2" s="1"/>
  <c r="F75" i="3"/>
  <c r="F81" i="3" s="1"/>
  <c r="E36" i="3"/>
  <c r="E42" i="3" s="1"/>
  <c r="E54" i="3" s="1"/>
  <c r="C34" i="3"/>
  <c r="C40" i="3" s="1"/>
  <c r="D33" i="3"/>
  <c r="D39" i="3" s="1"/>
  <c r="D51" i="3" s="1"/>
  <c r="E34" i="2"/>
  <c r="E40" i="2" s="1"/>
  <c r="E52" i="2" s="1"/>
  <c r="H33" i="2"/>
  <c r="H39" i="2" s="1"/>
  <c r="H51" i="2" s="1"/>
  <c r="F55" i="3"/>
  <c r="C36" i="7"/>
  <c r="C47" i="7" s="1"/>
  <c r="E16" i="3"/>
  <c r="E60" i="3" s="1"/>
  <c r="J34" i="2"/>
  <c r="J40" i="2" s="1"/>
  <c r="J52" i="2" s="1"/>
  <c r="J58" i="2" s="1"/>
  <c r="G33" i="3"/>
  <c r="G39" i="3" s="1"/>
  <c r="C35" i="4"/>
  <c r="C41" i="4" s="1"/>
  <c r="C53" i="4" s="1"/>
  <c r="I37" i="4"/>
  <c r="I43" i="4" s="1"/>
  <c r="I55" i="4" s="1"/>
  <c r="H66" i="3"/>
  <c r="H89" i="3"/>
  <c r="H77" i="3"/>
  <c r="H83" i="3" s="1"/>
  <c r="H95" i="3" s="1"/>
  <c r="H101" i="3" s="1"/>
  <c r="G16" i="4"/>
  <c r="G60" i="4" s="1"/>
  <c r="H57" i="2"/>
  <c r="H16" i="4"/>
  <c r="H57" i="4" s="1"/>
  <c r="G35" i="4"/>
  <c r="G41" i="4" s="1"/>
  <c r="G47" i="4"/>
  <c r="G52" i="4"/>
  <c r="E64" i="4"/>
  <c r="E75" i="4"/>
  <c r="E81" i="4" s="1"/>
  <c r="E87" i="4"/>
  <c r="F16" i="4"/>
  <c r="F35" i="4"/>
  <c r="F41" i="4" s="1"/>
  <c r="F47" i="4"/>
  <c r="E58" i="2"/>
  <c r="G46" i="2"/>
  <c r="G34" i="2"/>
  <c r="G40" i="2" s="1"/>
  <c r="G52" i="2" s="1"/>
  <c r="E37" i="2"/>
  <c r="E43" i="2" s="1"/>
  <c r="E63" i="2"/>
  <c r="E49" i="2"/>
  <c r="F58" i="2"/>
  <c r="B31" i="1"/>
  <c r="J104" i="4"/>
  <c r="I104" i="4"/>
  <c r="F104" i="3"/>
  <c r="C104" i="2"/>
  <c r="H104" i="4"/>
  <c r="G104" i="4"/>
  <c r="F104" i="4"/>
  <c r="F60" i="4" s="1"/>
  <c r="E104" i="4"/>
  <c r="E58" i="4" s="1"/>
  <c r="D104" i="4"/>
  <c r="I104" i="3"/>
  <c r="I104" i="2"/>
  <c r="J104" i="2"/>
  <c r="H104" i="2"/>
  <c r="J104" i="3"/>
  <c r="H104" i="3"/>
  <c r="G104" i="2"/>
  <c r="E104" i="3"/>
  <c r="E59" i="3" s="1"/>
  <c r="F104" i="2"/>
  <c r="D104" i="3"/>
  <c r="C104" i="3"/>
  <c r="C104" i="4"/>
  <c r="E104" i="2"/>
  <c r="D104" i="2"/>
  <c r="F16" i="3"/>
  <c r="F57" i="3" s="1"/>
  <c r="J37" i="4"/>
  <c r="J43" i="4" s="1"/>
  <c r="J49" i="4"/>
  <c r="J63" i="4"/>
  <c r="E35" i="4"/>
  <c r="E41" i="4" s="1"/>
  <c r="E47" i="4"/>
  <c r="H46" i="2"/>
  <c r="H34" i="2"/>
  <c r="H40" i="2" s="1"/>
  <c r="H52" i="2" s="1"/>
  <c r="F37" i="2"/>
  <c r="F43" i="2" s="1"/>
  <c r="F49" i="2"/>
  <c r="F63" i="2"/>
  <c r="J87" i="3"/>
  <c r="J93" i="3" s="1"/>
  <c r="J99" i="3" s="1"/>
  <c r="J64" i="3"/>
  <c r="D35" i="4"/>
  <c r="D41" i="4" s="1"/>
  <c r="D47" i="4"/>
  <c r="F75" i="4"/>
  <c r="F81" i="4" s="1"/>
  <c r="F64" i="4"/>
  <c r="I34" i="2"/>
  <c r="I40" i="2" s="1"/>
  <c r="I46" i="2"/>
  <c r="H52" i="3"/>
  <c r="J55" i="3"/>
  <c r="E16" i="4"/>
  <c r="D16" i="4"/>
  <c r="D58" i="4" s="1"/>
  <c r="J16" i="2"/>
  <c r="J107" i="2" s="1"/>
  <c r="H16" i="3"/>
  <c r="H107" i="3" s="1"/>
  <c r="I16" i="2"/>
  <c r="G16" i="2"/>
  <c r="H16" i="2"/>
  <c r="F16" i="2"/>
  <c r="J16" i="3"/>
  <c r="J59" i="3" s="1"/>
  <c r="I16" i="3"/>
  <c r="I58" i="3" s="1"/>
  <c r="G16" i="3"/>
  <c r="G107" i="3" s="1"/>
  <c r="C16" i="4"/>
  <c r="D16" i="3"/>
  <c r="D57" i="3" s="1"/>
  <c r="J16" i="4"/>
  <c r="J107" i="4" s="1"/>
  <c r="C16" i="3"/>
  <c r="C60" i="3" s="1"/>
  <c r="D16" i="2"/>
  <c r="D59" i="2" s="1"/>
  <c r="E16" i="2"/>
  <c r="C16" i="2"/>
  <c r="I16" i="4"/>
  <c r="I60" i="4" s="1"/>
  <c r="G49" i="2"/>
  <c r="G55" i="2" s="1"/>
  <c r="G61" i="2" s="1"/>
  <c r="G63" i="2"/>
  <c r="D75" i="4"/>
  <c r="D81" i="4" s="1"/>
  <c r="D87" i="4"/>
  <c r="D64" i="4"/>
  <c r="C47" i="2"/>
  <c r="C35" i="2"/>
  <c r="C41" i="2" s="1"/>
  <c r="C53" i="2" s="1"/>
  <c r="I49" i="2"/>
  <c r="I55" i="2" s="1"/>
  <c r="I63" i="2"/>
  <c r="H55" i="3"/>
  <c r="E34" i="3"/>
  <c r="E40" i="3" s="1"/>
  <c r="C75" i="2"/>
  <c r="C81" i="2" s="1"/>
  <c r="C93" i="2" s="1"/>
  <c r="C64" i="2"/>
  <c r="D87" i="2"/>
  <c r="D93" i="2" s="1"/>
  <c r="F34" i="3"/>
  <c r="F40" i="3" s="1"/>
  <c r="F52" i="3" s="1"/>
  <c r="D37" i="3"/>
  <c r="D43" i="3" s="1"/>
  <c r="D63" i="3"/>
  <c r="J36" i="4"/>
  <c r="J42" i="4" s="1"/>
  <c r="J54" i="4" s="1"/>
  <c r="D37" i="7"/>
  <c r="D48" i="7" s="1"/>
  <c r="D27" i="7"/>
  <c r="J36" i="3"/>
  <c r="J42" i="3" s="1"/>
  <c r="J48" i="3"/>
  <c r="C63" i="4"/>
  <c r="C49" i="4"/>
  <c r="C55" i="4" s="1"/>
  <c r="D55" i="4"/>
  <c r="E34" i="7"/>
  <c r="E45" i="7" s="1"/>
  <c r="J77" i="2"/>
  <c r="J83" i="2" s="1"/>
  <c r="J95" i="2" s="1"/>
  <c r="J66" i="2"/>
  <c r="H45" i="3"/>
  <c r="H33" i="3"/>
  <c r="H39" i="3" s="1"/>
  <c r="H51" i="3" s="1"/>
  <c r="H48" i="3"/>
  <c r="H36" i="3"/>
  <c r="H42" i="3" s="1"/>
  <c r="H54" i="3" s="1"/>
  <c r="D34" i="7"/>
  <c r="D45" i="7" s="1"/>
  <c r="G36" i="2"/>
  <c r="G42" i="2" s="1"/>
  <c r="G54" i="2" s="1"/>
  <c r="G37" i="3"/>
  <c r="G43" i="3" s="1"/>
  <c r="G63" i="3"/>
  <c r="E55" i="4"/>
  <c r="H35" i="4"/>
  <c r="H41" i="4" s="1"/>
  <c r="H47" i="4"/>
  <c r="G48" i="3"/>
  <c r="G36" i="3"/>
  <c r="G42" i="3" s="1"/>
  <c r="H88" i="3"/>
  <c r="H76" i="3"/>
  <c r="H82" i="3" s="1"/>
  <c r="E37" i="7"/>
  <c r="E48" i="7" s="1"/>
  <c r="E27" i="7"/>
  <c r="E48" i="2"/>
  <c r="E36" i="2"/>
  <c r="E42" i="2" s="1"/>
  <c r="I33" i="2"/>
  <c r="I39" i="2" s="1"/>
  <c r="I51" i="2" s="1"/>
  <c r="J33" i="2"/>
  <c r="J39" i="2" s="1"/>
  <c r="J51" i="2" s="1"/>
  <c r="H75" i="3"/>
  <c r="H81" i="3" s="1"/>
  <c r="H87" i="3"/>
  <c r="D49" i="3"/>
  <c r="G107" i="2"/>
  <c r="F65" i="3"/>
  <c r="F88" i="3"/>
  <c r="F76" i="3"/>
  <c r="F82" i="3" s="1"/>
  <c r="F94" i="3" s="1"/>
  <c r="C37" i="7"/>
  <c r="C48" i="7" s="1"/>
  <c r="C27" i="7"/>
  <c r="J45" i="3"/>
  <c r="J33" i="3"/>
  <c r="J39" i="3" s="1"/>
  <c r="J51" i="3" s="1"/>
  <c r="D34" i="3"/>
  <c r="D40" i="3" s="1"/>
  <c r="I36" i="2"/>
  <c r="I42" i="2" s="1"/>
  <c r="I54" i="2" s="1"/>
  <c r="D36" i="2"/>
  <c r="D42" i="2" s="1"/>
  <c r="D54" i="2" s="1"/>
  <c r="H75" i="2"/>
  <c r="H81" i="2" s="1"/>
  <c r="H93" i="2" s="1"/>
  <c r="H64" i="2"/>
  <c r="C35" i="3"/>
  <c r="C41" i="3" s="1"/>
  <c r="C53" i="3" s="1"/>
  <c r="I37" i="3"/>
  <c r="I43" i="3" s="1"/>
  <c r="I55" i="3" s="1"/>
  <c r="I63" i="3"/>
  <c r="G51" i="3"/>
  <c r="I45" i="3"/>
  <c r="H34" i="4"/>
  <c r="H40" i="4" s="1"/>
  <c r="H55" i="4"/>
  <c r="F36" i="3"/>
  <c r="F42" i="3" s="1"/>
  <c r="F54" i="3" s="1"/>
  <c r="G45" i="2"/>
  <c r="G33" i="2"/>
  <c r="G39" i="2" s="1"/>
  <c r="G51" i="2" s="1"/>
  <c r="G57" i="2" s="1"/>
  <c r="C34" i="2"/>
  <c r="C40" i="2" s="1"/>
  <c r="C52" i="2" s="1"/>
  <c r="J36" i="2"/>
  <c r="J42" i="2" s="1"/>
  <c r="J54" i="2" s="1"/>
  <c r="J60" i="2" s="1"/>
  <c r="C46" i="3"/>
  <c r="C52" i="3" s="1"/>
  <c r="C58" i="3" s="1"/>
  <c r="I34" i="4"/>
  <c r="I40" i="4" s="1"/>
  <c r="G37" i="4"/>
  <c r="G43" i="4" s="1"/>
  <c r="G46" i="4"/>
  <c r="E37" i="3"/>
  <c r="E43" i="3" s="1"/>
  <c r="E55" i="3" s="1"/>
  <c r="E63" i="3"/>
  <c r="H36" i="2"/>
  <c r="H42" i="2" s="1"/>
  <c r="H54" i="2" s="1"/>
  <c r="D34" i="2"/>
  <c r="D40" i="2" s="1"/>
  <c r="D52" i="2" s="1"/>
  <c r="D46" i="3"/>
  <c r="G49" i="3"/>
  <c r="G51" i="4"/>
  <c r="H46" i="4"/>
  <c r="G64" i="4"/>
  <c r="G87" i="4"/>
  <c r="G75" i="4"/>
  <c r="G81" i="4" s="1"/>
  <c r="G93" i="4" s="1"/>
  <c r="H87" i="4"/>
  <c r="H75" i="4"/>
  <c r="H81" i="4" s="1"/>
  <c r="H93" i="4" s="1"/>
  <c r="H64" i="4"/>
  <c r="I87" i="4"/>
  <c r="I75" i="4"/>
  <c r="I81" i="4" s="1"/>
  <c r="I64" i="4"/>
  <c r="J107" i="3"/>
  <c r="C63" i="3"/>
  <c r="C37" i="3"/>
  <c r="C43" i="3" s="1"/>
  <c r="C55" i="3" s="1"/>
  <c r="C48" i="2"/>
  <c r="D64" i="2"/>
  <c r="E46" i="3"/>
  <c r="H49" i="3"/>
  <c r="I46" i="4"/>
  <c r="C45" i="4"/>
  <c r="C33" i="4"/>
  <c r="C39" i="4" s="1"/>
  <c r="C51" i="4" s="1"/>
  <c r="I47" i="4"/>
  <c r="I35" i="4"/>
  <c r="I41" i="4" s="1"/>
  <c r="D33" i="4"/>
  <c r="D39" i="4" s="1"/>
  <c r="D51" i="4" s="1"/>
  <c r="D57" i="4" s="1"/>
  <c r="E33" i="4"/>
  <c r="E39" i="4" s="1"/>
  <c r="E51" i="4" s="1"/>
  <c r="E57" i="4" s="1"/>
  <c r="C36" i="4"/>
  <c r="C42" i="4" s="1"/>
  <c r="H35" i="3"/>
  <c r="H41" i="3" s="1"/>
  <c r="H53" i="3" s="1"/>
  <c r="E35" i="2"/>
  <c r="E41" i="2" s="1"/>
  <c r="E47" i="2"/>
  <c r="C48" i="4"/>
  <c r="J35" i="4"/>
  <c r="J41" i="4" s="1"/>
  <c r="J53" i="4" s="1"/>
  <c r="D35" i="7"/>
  <c r="D46" i="7" s="1"/>
  <c r="D33" i="7"/>
  <c r="D44" i="7" s="1"/>
  <c r="E33" i="7"/>
  <c r="E44" i="7" s="1"/>
  <c r="C34" i="7"/>
  <c r="C45" i="7" s="1"/>
  <c r="B28" i="7"/>
  <c r="D25" i="7"/>
  <c r="D36" i="7" s="1"/>
  <c r="D47" i="7" s="1"/>
  <c r="E25" i="7"/>
  <c r="E36" i="7" s="1"/>
  <c r="E47" i="7" s="1"/>
  <c r="J59" i="4" l="1"/>
  <c r="I53" i="4"/>
  <c r="G107" i="4"/>
  <c r="D60" i="4"/>
  <c r="F61" i="4"/>
  <c r="H61" i="3"/>
  <c r="I61" i="2"/>
  <c r="C57" i="4"/>
  <c r="I107" i="3"/>
  <c r="C61" i="4"/>
  <c r="D58" i="2"/>
  <c r="H99" i="2"/>
  <c r="H94" i="3"/>
  <c r="H100" i="3" s="1"/>
  <c r="H59" i="2"/>
  <c r="C59" i="3"/>
  <c r="H60" i="2"/>
  <c r="D60" i="2"/>
  <c r="I60" i="2"/>
  <c r="G54" i="3"/>
  <c r="G60" i="3" s="1"/>
  <c r="I60" i="3"/>
  <c r="F55" i="2"/>
  <c r="F61" i="2" s="1"/>
  <c r="J101" i="2"/>
  <c r="C59" i="4"/>
  <c r="F59" i="2"/>
  <c r="G59" i="2"/>
  <c r="E61" i="3"/>
  <c r="G58" i="4"/>
  <c r="J57" i="3"/>
  <c r="I107" i="4"/>
  <c r="C54" i="2"/>
  <c r="C60" i="2" s="1"/>
  <c r="G55" i="4"/>
  <c r="C61" i="2"/>
  <c r="J100" i="2"/>
  <c r="J58" i="3"/>
  <c r="F93" i="3"/>
  <c r="F99" i="3" s="1"/>
  <c r="E65" i="4"/>
  <c r="E76" i="4"/>
  <c r="E82" i="4" s="1"/>
  <c r="E88" i="4"/>
  <c r="I65" i="4"/>
  <c r="I88" i="4"/>
  <c r="I76" i="4"/>
  <c r="I82" i="4" s="1"/>
  <c r="D38" i="7"/>
  <c r="D49" i="7" s="1"/>
  <c r="D28" i="7"/>
  <c r="H107" i="4"/>
  <c r="E55" i="2"/>
  <c r="E61" i="2" s="1"/>
  <c r="J58" i="4"/>
  <c r="I59" i="3"/>
  <c r="F107" i="3"/>
  <c r="G59" i="3"/>
  <c r="D61" i="4"/>
  <c r="D52" i="3"/>
  <c r="D58" i="3" s="1"/>
  <c r="C75" i="4"/>
  <c r="C81" i="4" s="1"/>
  <c r="C87" i="4"/>
  <c r="C64" i="4"/>
  <c r="C61" i="3"/>
  <c r="D53" i="4"/>
  <c r="D59" i="4" s="1"/>
  <c r="I61" i="4"/>
  <c r="G53" i="4"/>
  <c r="G59" i="4" s="1"/>
  <c r="C75" i="3"/>
  <c r="C81" i="3" s="1"/>
  <c r="C87" i="3"/>
  <c r="C64" i="3"/>
  <c r="D93" i="4"/>
  <c r="D99" i="4" s="1"/>
  <c r="E93" i="4"/>
  <c r="E99" i="4" s="1"/>
  <c r="I93" i="4"/>
  <c r="I99" i="4" s="1"/>
  <c r="D57" i="2"/>
  <c r="H107" i="2"/>
  <c r="G87" i="3"/>
  <c r="G64" i="3"/>
  <c r="G75" i="3"/>
  <c r="G81" i="3" s="1"/>
  <c r="G93" i="3" s="1"/>
  <c r="G99" i="3" s="1"/>
  <c r="F107" i="2"/>
  <c r="G55" i="3"/>
  <c r="G61" i="3" s="1"/>
  <c r="D55" i="3"/>
  <c r="D61" i="3" s="1"/>
  <c r="D61" i="2"/>
  <c r="H90" i="3"/>
  <c r="H67" i="3"/>
  <c r="H78" i="3"/>
  <c r="H84" i="3" s="1"/>
  <c r="H96" i="3" s="1"/>
  <c r="H102" i="3" s="1"/>
  <c r="H88" i="2"/>
  <c r="H76" i="2"/>
  <c r="H82" i="2" s="1"/>
  <c r="H94" i="2" s="1"/>
  <c r="H100" i="2" s="1"/>
  <c r="H65" i="2"/>
  <c r="C59" i="2"/>
  <c r="F88" i="4"/>
  <c r="F65" i="4"/>
  <c r="F76" i="4"/>
  <c r="F82" i="4" s="1"/>
  <c r="F94" i="4" s="1"/>
  <c r="F100" i="4" s="1"/>
  <c r="F53" i="4"/>
  <c r="F59" i="4" s="1"/>
  <c r="G61" i="4"/>
  <c r="H53" i="4"/>
  <c r="H59" i="4" s="1"/>
  <c r="C57" i="3"/>
  <c r="C58" i="2"/>
  <c r="H60" i="4"/>
  <c r="E60" i="4"/>
  <c r="F75" i="2"/>
  <c r="F81" i="2" s="1"/>
  <c r="F64" i="2"/>
  <c r="F87" i="2"/>
  <c r="C54" i="4"/>
  <c r="C60" i="4" s="1"/>
  <c r="H52" i="4"/>
  <c r="H58" i="4" s="1"/>
  <c r="F58" i="3"/>
  <c r="C58" i="4"/>
  <c r="J57" i="4"/>
  <c r="J61" i="2"/>
  <c r="E75" i="2"/>
  <c r="E81" i="2" s="1"/>
  <c r="E93" i="2" s="1"/>
  <c r="E99" i="2" s="1"/>
  <c r="E64" i="2"/>
  <c r="E87" i="2"/>
  <c r="E61" i="4"/>
  <c r="F60" i="3"/>
  <c r="H58" i="2"/>
  <c r="H61" i="4"/>
  <c r="G99" i="4"/>
  <c r="H93" i="3"/>
  <c r="H99" i="3" s="1"/>
  <c r="H60" i="3"/>
  <c r="F57" i="2"/>
  <c r="F58" i="4"/>
  <c r="F59" i="3"/>
  <c r="D59" i="3"/>
  <c r="B29" i="7"/>
  <c r="B39" i="7"/>
  <c r="B50" i="7" s="1"/>
  <c r="F100" i="3"/>
  <c r="D99" i="2"/>
  <c r="F77" i="3"/>
  <c r="F83" i="3" s="1"/>
  <c r="F66" i="3"/>
  <c r="F89" i="3"/>
  <c r="I107" i="2"/>
  <c r="I59" i="2"/>
  <c r="H99" i="4"/>
  <c r="D87" i="3"/>
  <c r="D75" i="3"/>
  <c r="D81" i="3" s="1"/>
  <c r="D93" i="3" s="1"/>
  <c r="D99" i="3" s="1"/>
  <c r="D64" i="3"/>
  <c r="G60" i="2"/>
  <c r="G65" i="4"/>
  <c r="G88" i="4"/>
  <c r="G76" i="4"/>
  <c r="G82" i="4" s="1"/>
  <c r="G94" i="4" s="1"/>
  <c r="G100" i="4" s="1"/>
  <c r="G57" i="3"/>
  <c r="J57" i="2"/>
  <c r="C65" i="2"/>
  <c r="C88" i="2"/>
  <c r="C76" i="2"/>
  <c r="C82" i="2" s="1"/>
  <c r="H61" i="2"/>
  <c r="J61" i="3"/>
  <c r="F57" i="4"/>
  <c r="E38" i="7"/>
  <c r="E49" i="7" s="1"/>
  <c r="E28" i="7"/>
  <c r="I64" i="2"/>
  <c r="I75" i="2"/>
  <c r="I81" i="2" s="1"/>
  <c r="I87" i="2"/>
  <c r="I52" i="2"/>
  <c r="I58" i="2" s="1"/>
  <c r="E75" i="3"/>
  <c r="E81" i="3" s="1"/>
  <c r="E64" i="3"/>
  <c r="E87" i="3"/>
  <c r="D65" i="2"/>
  <c r="D88" i="2"/>
  <c r="D76" i="2"/>
  <c r="D82" i="2" s="1"/>
  <c r="D94" i="2" s="1"/>
  <c r="D100" i="2" s="1"/>
  <c r="F93" i="4"/>
  <c r="F99" i="4" s="1"/>
  <c r="D76" i="4"/>
  <c r="D82" i="4" s="1"/>
  <c r="D94" i="4" s="1"/>
  <c r="D100" i="4" s="1"/>
  <c r="D65" i="4"/>
  <c r="D88" i="4"/>
  <c r="I52" i="4"/>
  <c r="I58" i="4" s="1"/>
  <c r="C38" i="7"/>
  <c r="C49" i="7" s="1"/>
  <c r="C28" i="7"/>
  <c r="F107" i="4"/>
  <c r="J54" i="3"/>
  <c r="J60" i="3" s="1"/>
  <c r="J65" i="3"/>
  <c r="J76" i="3"/>
  <c r="J82" i="3" s="1"/>
  <c r="J88" i="3"/>
  <c r="J67" i="2"/>
  <c r="J90" i="2"/>
  <c r="J78" i="2"/>
  <c r="J84" i="2" s="1"/>
  <c r="J96" i="2" s="1"/>
  <c r="J102" i="2" s="1"/>
  <c r="J75" i="4"/>
  <c r="J81" i="4" s="1"/>
  <c r="J64" i="4"/>
  <c r="J87" i="4"/>
  <c r="J55" i="4"/>
  <c r="J61" i="4" s="1"/>
  <c r="H76" i="4"/>
  <c r="H82" i="4" s="1"/>
  <c r="H65" i="4"/>
  <c r="H88" i="4"/>
  <c r="J60" i="4"/>
  <c r="G58" i="2"/>
  <c r="E53" i="2"/>
  <c r="E59" i="2" s="1"/>
  <c r="G75" i="2"/>
  <c r="G81" i="2" s="1"/>
  <c r="G64" i="2"/>
  <c r="G87" i="2"/>
  <c r="H59" i="3"/>
  <c r="I59" i="4"/>
  <c r="I64" i="3"/>
  <c r="I87" i="3"/>
  <c r="I75" i="3"/>
  <c r="I81" i="3" s="1"/>
  <c r="I93" i="3" s="1"/>
  <c r="I99" i="3" s="1"/>
  <c r="I57" i="2"/>
  <c r="H57" i="3"/>
  <c r="C99" i="2"/>
  <c r="F61" i="3"/>
  <c r="I57" i="4"/>
  <c r="G57" i="4"/>
  <c r="I61" i="3"/>
  <c r="E54" i="2"/>
  <c r="E60" i="2" s="1"/>
  <c r="E52" i="3"/>
  <c r="E58" i="3" s="1"/>
  <c r="H58" i="3"/>
  <c r="E53" i="4"/>
  <c r="E59" i="4" s="1"/>
  <c r="H94" i="4" l="1"/>
  <c r="H100" i="4" s="1"/>
  <c r="D89" i="2"/>
  <c r="D77" i="2"/>
  <c r="D83" i="2" s="1"/>
  <c r="D95" i="2" s="1"/>
  <c r="D101" i="2" s="1"/>
  <c r="D66" i="2"/>
  <c r="G88" i="3"/>
  <c r="G76" i="3"/>
  <c r="G82" i="3" s="1"/>
  <c r="G65" i="3"/>
  <c r="J91" i="2"/>
  <c r="J79" i="2"/>
  <c r="J85" i="2" s="1"/>
  <c r="J97" i="2" s="1"/>
  <c r="J103" i="2" s="1"/>
  <c r="J105" i="2" s="1"/>
  <c r="J109" i="2" s="1"/>
  <c r="C93" i="3"/>
  <c r="C99" i="3" s="1"/>
  <c r="I94" i="4"/>
  <c r="I100" i="4" s="1"/>
  <c r="F88" i="2"/>
  <c r="F76" i="2"/>
  <c r="F82" i="2" s="1"/>
  <c r="F65" i="2"/>
  <c r="F93" i="2"/>
  <c r="F99" i="2" s="1"/>
  <c r="J93" i="4"/>
  <c r="J99" i="4" s="1"/>
  <c r="D29" i="7"/>
  <c r="D39" i="7"/>
  <c r="D50" i="7" s="1"/>
  <c r="I76" i="3"/>
  <c r="I82" i="3" s="1"/>
  <c r="I65" i="3"/>
  <c r="I88" i="3"/>
  <c r="D89" i="4"/>
  <c r="D77" i="4"/>
  <c r="D83" i="4" s="1"/>
  <c r="D66" i="4"/>
  <c r="F95" i="3"/>
  <c r="F101" i="3" s="1"/>
  <c r="I77" i="4"/>
  <c r="I83" i="4" s="1"/>
  <c r="I89" i="4"/>
  <c r="I66" i="4"/>
  <c r="E88" i="3"/>
  <c r="E65" i="3"/>
  <c r="E76" i="3"/>
  <c r="E82" i="3" s="1"/>
  <c r="F77" i="4"/>
  <c r="F83" i="4" s="1"/>
  <c r="F89" i="4"/>
  <c r="F66" i="4"/>
  <c r="E88" i="2"/>
  <c r="E76" i="2"/>
  <c r="E82" i="2" s="1"/>
  <c r="E65" i="2"/>
  <c r="G93" i="2"/>
  <c r="G99" i="2" s="1"/>
  <c r="E94" i="4"/>
  <c r="E100" i="4" s="1"/>
  <c r="H89" i="4"/>
  <c r="H77" i="4"/>
  <c r="H83" i="4" s="1"/>
  <c r="H95" i="4" s="1"/>
  <c r="H101" i="4" s="1"/>
  <c r="H66" i="4"/>
  <c r="E93" i="3"/>
  <c r="E99" i="3" s="1"/>
  <c r="I93" i="2"/>
  <c r="I99" i="2" s="1"/>
  <c r="C88" i="3"/>
  <c r="C65" i="3"/>
  <c r="C76" i="3"/>
  <c r="C82" i="3" s="1"/>
  <c r="C94" i="3" s="1"/>
  <c r="C100" i="3" s="1"/>
  <c r="J94" i="3"/>
  <c r="J100" i="3" s="1"/>
  <c r="C29" i="7"/>
  <c r="C39" i="7"/>
  <c r="C50" i="7" s="1"/>
  <c r="C76" i="4"/>
  <c r="C82" i="4" s="1"/>
  <c r="C65" i="4"/>
  <c r="C88" i="4"/>
  <c r="E77" i="4"/>
  <c r="E83" i="4" s="1"/>
  <c r="E89" i="4"/>
  <c r="E66" i="4"/>
  <c r="C89" i="2"/>
  <c r="C77" i="2"/>
  <c r="C83" i="2" s="1"/>
  <c r="C95" i="2" s="1"/>
  <c r="C101" i="2" s="1"/>
  <c r="C66" i="2"/>
  <c r="G77" i="4"/>
  <c r="G83" i="4" s="1"/>
  <c r="G89" i="4"/>
  <c r="G66" i="4"/>
  <c r="E29" i="7"/>
  <c r="E39" i="7"/>
  <c r="E50" i="7" s="1"/>
  <c r="F78" i="3"/>
  <c r="F84" i="3" s="1"/>
  <c r="F90" i="3"/>
  <c r="F67" i="3"/>
  <c r="C94" i="2"/>
  <c r="C100" i="2" s="1"/>
  <c r="H91" i="3"/>
  <c r="H79" i="3"/>
  <c r="H85" i="3" s="1"/>
  <c r="J88" i="4"/>
  <c r="J65" i="4"/>
  <c r="J76" i="4"/>
  <c r="J82" i="4" s="1"/>
  <c r="D88" i="3"/>
  <c r="D65" i="3"/>
  <c r="D76" i="3"/>
  <c r="D82" i="3" s="1"/>
  <c r="D94" i="3" s="1"/>
  <c r="D100" i="3" s="1"/>
  <c r="I88" i="2"/>
  <c r="I76" i="2"/>
  <c r="I82" i="2" s="1"/>
  <c r="I94" i="2" s="1"/>
  <c r="I100" i="2" s="1"/>
  <c r="I65" i="2"/>
  <c r="J77" i="3"/>
  <c r="J83" i="3" s="1"/>
  <c r="J66" i="3"/>
  <c r="J89" i="3"/>
  <c r="H77" i="2"/>
  <c r="H83" i="2" s="1"/>
  <c r="H66" i="2"/>
  <c r="H89" i="2"/>
  <c r="G88" i="2"/>
  <c r="G76" i="2"/>
  <c r="G82" i="2" s="1"/>
  <c r="G65" i="2"/>
  <c r="B40" i="7"/>
  <c r="B51" i="7" s="1"/>
  <c r="B30" i="7"/>
  <c r="C93" i="4"/>
  <c r="C99" i="4" s="1"/>
  <c r="G94" i="2" l="1"/>
  <c r="G100" i="2" s="1"/>
  <c r="E94" i="2"/>
  <c r="E100" i="2" s="1"/>
  <c r="J94" i="4"/>
  <c r="J100" i="4" s="1"/>
  <c r="D95" i="4"/>
  <c r="D101" i="4" s="1"/>
  <c r="C40" i="7"/>
  <c r="C51" i="7" s="1"/>
  <c r="C30" i="7"/>
  <c r="C66" i="3"/>
  <c r="C77" i="3"/>
  <c r="C83" i="3" s="1"/>
  <c r="C89" i="3"/>
  <c r="J95" i="3"/>
  <c r="J101" i="3" s="1"/>
  <c r="D78" i="2"/>
  <c r="D84" i="2" s="1"/>
  <c r="D67" i="2"/>
  <c r="D90" i="2"/>
  <c r="H95" i="2"/>
  <c r="H101" i="2" s="1"/>
  <c r="G66" i="3"/>
  <c r="G89" i="3"/>
  <c r="G77" i="3"/>
  <c r="G83" i="3" s="1"/>
  <c r="G95" i="3" s="1"/>
  <c r="G101" i="3" s="1"/>
  <c r="E30" i="7"/>
  <c r="E40" i="7"/>
  <c r="E51" i="7" s="1"/>
  <c r="I77" i="2"/>
  <c r="I83" i="2" s="1"/>
  <c r="I66" i="2"/>
  <c r="I89" i="2"/>
  <c r="F91" i="3"/>
  <c r="F79" i="3"/>
  <c r="F85" i="3" s="1"/>
  <c r="F97" i="3" s="1"/>
  <c r="F103" i="3" s="1"/>
  <c r="I77" i="3"/>
  <c r="I83" i="3" s="1"/>
  <c r="I66" i="3"/>
  <c r="I89" i="3"/>
  <c r="D40" i="7"/>
  <c r="D51" i="7" s="1"/>
  <c r="D30" i="7"/>
  <c r="E95" i="4"/>
  <c r="E101" i="4" s="1"/>
  <c r="F90" i="4"/>
  <c r="F78" i="4"/>
  <c r="F84" i="4" s="1"/>
  <c r="F67" i="4"/>
  <c r="H67" i="2"/>
  <c r="H90" i="2"/>
  <c r="H78" i="2"/>
  <c r="H84" i="2" s="1"/>
  <c r="H96" i="2" s="1"/>
  <c r="H102" i="2" s="1"/>
  <c r="F96" i="3"/>
  <c r="F102" i="3" s="1"/>
  <c r="F105" i="3" s="1"/>
  <c r="F109" i="3" s="1"/>
  <c r="G94" i="3"/>
  <c r="G100" i="3" s="1"/>
  <c r="C78" i="2"/>
  <c r="C84" i="2" s="1"/>
  <c r="C67" i="2"/>
  <c r="C90" i="2"/>
  <c r="I94" i="3"/>
  <c r="I100" i="3" s="1"/>
  <c r="E67" i="4"/>
  <c r="E90" i="4"/>
  <c r="E78" i="4"/>
  <c r="E84" i="4" s="1"/>
  <c r="G66" i="2"/>
  <c r="G89" i="2"/>
  <c r="G77" i="2"/>
  <c r="G83" i="2" s="1"/>
  <c r="G95" i="2" s="1"/>
  <c r="G101" i="2" s="1"/>
  <c r="I78" i="4"/>
  <c r="I84" i="4" s="1"/>
  <c r="I90" i="4"/>
  <c r="I67" i="4"/>
  <c r="C89" i="4"/>
  <c r="C77" i="4"/>
  <c r="C83" i="4" s="1"/>
  <c r="C95" i="4" s="1"/>
  <c r="C101" i="4" s="1"/>
  <c r="C66" i="4"/>
  <c r="F95" i="4"/>
  <c r="F101" i="4" s="1"/>
  <c r="I95" i="4"/>
  <c r="I101" i="4" s="1"/>
  <c r="J90" i="3"/>
  <c r="J78" i="3"/>
  <c r="J84" i="3" s="1"/>
  <c r="J96" i="3" s="1"/>
  <c r="J102" i="3" s="1"/>
  <c r="J67" i="3"/>
  <c r="G90" i="4"/>
  <c r="G78" i="4"/>
  <c r="G84" i="4" s="1"/>
  <c r="G67" i="4"/>
  <c r="H78" i="4"/>
  <c r="H84" i="4" s="1"/>
  <c r="H90" i="4"/>
  <c r="H67" i="4"/>
  <c r="D78" i="4"/>
  <c r="D84" i="4" s="1"/>
  <c r="D90" i="4"/>
  <c r="D67" i="4"/>
  <c r="G95" i="4"/>
  <c r="G101" i="4" s="1"/>
  <c r="E89" i="2"/>
  <c r="E66" i="2"/>
  <c r="E77" i="2"/>
  <c r="E83" i="2" s="1"/>
  <c r="D77" i="3"/>
  <c r="D83" i="3" s="1"/>
  <c r="D66" i="3"/>
  <c r="D89" i="3"/>
  <c r="J89" i="4"/>
  <c r="J66" i="4"/>
  <c r="J77" i="4"/>
  <c r="J83" i="4" s="1"/>
  <c r="J95" i="4" s="1"/>
  <c r="J101" i="4" s="1"/>
  <c r="B31" i="7"/>
  <c r="B42" i="7" s="1"/>
  <c r="B41" i="7"/>
  <c r="B52" i="7" s="1"/>
  <c r="C94" i="4"/>
  <c r="C100" i="4" s="1"/>
  <c r="E94" i="3"/>
  <c r="E100" i="3" s="1"/>
  <c r="F77" i="2"/>
  <c r="F83" i="2" s="1"/>
  <c r="F89" i="2"/>
  <c r="F66" i="2"/>
  <c r="H97" i="3"/>
  <c r="H103" i="3" s="1"/>
  <c r="H105" i="3" s="1"/>
  <c r="H109" i="3" s="1"/>
  <c r="E77" i="3"/>
  <c r="E83" i="3" s="1"/>
  <c r="E66" i="3"/>
  <c r="E89" i="3"/>
  <c r="F94" i="2"/>
  <c r="F100" i="2" s="1"/>
  <c r="F96" i="4" l="1"/>
  <c r="F102" i="4" s="1"/>
  <c r="I96" i="4"/>
  <c r="I102" i="4" s="1"/>
  <c r="H96" i="4"/>
  <c r="H102" i="4" s="1"/>
  <c r="F95" i="2"/>
  <c r="F101" i="2" s="1"/>
  <c r="B55" i="7"/>
  <c r="B56" i="7" s="1"/>
  <c r="B53" i="7"/>
  <c r="D91" i="4"/>
  <c r="D79" i="4"/>
  <c r="D85" i="4" s="1"/>
  <c r="D97" i="4" s="1"/>
  <c r="G67" i="3"/>
  <c r="G90" i="3"/>
  <c r="G78" i="3"/>
  <c r="G84" i="3" s="1"/>
  <c r="G96" i="3" s="1"/>
  <c r="G102" i="3" s="1"/>
  <c r="F79" i="4"/>
  <c r="F85" i="4" s="1"/>
  <c r="F91" i="4"/>
  <c r="D91" i="2"/>
  <c r="D79" i="2"/>
  <c r="D85" i="2" s="1"/>
  <c r="D97" i="2" s="1"/>
  <c r="J79" i="3"/>
  <c r="J85" i="3" s="1"/>
  <c r="J91" i="3"/>
  <c r="H91" i="2"/>
  <c r="H79" i="2"/>
  <c r="H85" i="2" s="1"/>
  <c r="H97" i="2" s="1"/>
  <c r="H103" i="2" s="1"/>
  <c r="H105" i="2" s="1"/>
  <c r="H109" i="2" s="1"/>
  <c r="D78" i="3"/>
  <c r="D84" i="3" s="1"/>
  <c r="D67" i="3"/>
  <c r="D90" i="3"/>
  <c r="D95" i="3"/>
  <c r="D101" i="3" s="1"/>
  <c r="D31" i="7"/>
  <c r="D42" i="7" s="1"/>
  <c r="D41" i="7"/>
  <c r="D52" i="7" s="1"/>
  <c r="C95" i="3"/>
  <c r="C101" i="3" s="1"/>
  <c r="E95" i="3"/>
  <c r="E101" i="3" s="1"/>
  <c r="E91" i="4"/>
  <c r="E79" i="4"/>
  <c r="E85" i="4" s="1"/>
  <c r="B54" i="7"/>
  <c r="B57" i="7" s="1"/>
  <c r="B58" i="7" s="1"/>
  <c r="B59" i="7" s="1"/>
  <c r="B60" i="7" s="1"/>
  <c r="C90" i="4"/>
  <c r="C67" i="4"/>
  <c r="C78" i="4"/>
  <c r="C84" i="4" s="1"/>
  <c r="C96" i="4" s="1"/>
  <c r="C102" i="4" s="1"/>
  <c r="F78" i="2"/>
  <c r="F84" i="2" s="1"/>
  <c r="F67" i="2"/>
  <c r="F90" i="2"/>
  <c r="I67" i="2"/>
  <c r="I90" i="2"/>
  <c r="I78" i="2"/>
  <c r="I84" i="2" s="1"/>
  <c r="I96" i="2" s="1"/>
  <c r="I102" i="2" s="1"/>
  <c r="G78" i="2"/>
  <c r="G84" i="2" s="1"/>
  <c r="G67" i="2"/>
  <c r="G90" i="2"/>
  <c r="E96" i="4"/>
  <c r="E102" i="4" s="1"/>
  <c r="G91" i="4"/>
  <c r="G79" i="4"/>
  <c r="G85" i="4" s="1"/>
  <c r="C91" i="2"/>
  <c r="C79" i="2"/>
  <c r="C85" i="2" s="1"/>
  <c r="C97" i="2" s="1"/>
  <c r="I95" i="2"/>
  <c r="I101" i="2" s="1"/>
  <c r="D96" i="2"/>
  <c r="D102" i="2" s="1"/>
  <c r="I91" i="4"/>
  <c r="I79" i="4"/>
  <c r="I85" i="4" s="1"/>
  <c r="E95" i="2"/>
  <c r="E101" i="2" s="1"/>
  <c r="E78" i="2"/>
  <c r="E84" i="2" s="1"/>
  <c r="E67" i="2"/>
  <c r="E90" i="2"/>
  <c r="C78" i="3"/>
  <c r="C84" i="3" s="1"/>
  <c r="C67" i="3"/>
  <c r="C90" i="3"/>
  <c r="I90" i="3"/>
  <c r="I67" i="3"/>
  <c r="I78" i="3"/>
  <c r="I84" i="3" s="1"/>
  <c r="E90" i="3"/>
  <c r="E67" i="3"/>
  <c r="E78" i="3"/>
  <c r="E84" i="3" s="1"/>
  <c r="E96" i="3" s="1"/>
  <c r="E102" i="3" s="1"/>
  <c r="I95" i="3"/>
  <c r="I101" i="3" s="1"/>
  <c r="D96" i="4"/>
  <c r="D102" i="4" s="1"/>
  <c r="H91" i="4"/>
  <c r="H79" i="4"/>
  <c r="H85" i="4" s="1"/>
  <c r="G96" i="4"/>
  <c r="G102" i="4" s="1"/>
  <c r="C96" i="2"/>
  <c r="C102" i="2" s="1"/>
  <c r="J78" i="4"/>
  <c r="J84" i="4" s="1"/>
  <c r="J67" i="4"/>
  <c r="J90" i="4"/>
  <c r="C31" i="7"/>
  <c r="C42" i="7" s="1"/>
  <c r="C41" i="7"/>
  <c r="C52" i="7" s="1"/>
  <c r="E31" i="7"/>
  <c r="E42" i="7" s="1"/>
  <c r="E41" i="7"/>
  <c r="E52" i="7" s="1"/>
  <c r="I97" i="4" l="1"/>
  <c r="I103" i="4" s="1"/>
  <c r="I105" i="4" s="1"/>
  <c r="I109" i="4" s="1"/>
  <c r="E97" i="4"/>
  <c r="D96" i="3"/>
  <c r="D102" i="3" s="1"/>
  <c r="G97" i="4"/>
  <c r="G103" i="4" s="1"/>
  <c r="G105" i="4" s="1"/>
  <c r="G109" i="4" s="1"/>
  <c r="F91" i="2"/>
  <c r="F79" i="2"/>
  <c r="F85" i="2" s="1"/>
  <c r="F97" i="2" s="1"/>
  <c r="F103" i="2" s="1"/>
  <c r="E96" i="2"/>
  <c r="E102" i="2" s="1"/>
  <c r="D106" i="4"/>
  <c r="D107" i="4" s="1"/>
  <c r="D103" i="4"/>
  <c r="D105" i="4" s="1"/>
  <c r="D109" i="4" s="1"/>
  <c r="E55" i="7"/>
  <c r="E56" i="7" s="1"/>
  <c r="E53" i="7"/>
  <c r="E54" i="7" s="1"/>
  <c r="J97" i="3"/>
  <c r="J103" i="3" s="1"/>
  <c r="J105" i="3" s="1"/>
  <c r="J109" i="3" s="1"/>
  <c r="J91" i="4"/>
  <c r="J79" i="4"/>
  <c r="J85" i="4" s="1"/>
  <c r="J97" i="4" s="1"/>
  <c r="J103" i="4" s="1"/>
  <c r="F97" i="4"/>
  <c r="F103" i="4" s="1"/>
  <c r="F105" i="4" s="1"/>
  <c r="F109" i="4" s="1"/>
  <c r="G91" i="3"/>
  <c r="G79" i="3"/>
  <c r="G85" i="3" s="1"/>
  <c r="G97" i="3" s="1"/>
  <c r="G103" i="3" s="1"/>
  <c r="G105" i="3" s="1"/>
  <c r="G109" i="3" s="1"/>
  <c r="C91" i="3"/>
  <c r="C79" i="3"/>
  <c r="C85" i="3" s="1"/>
  <c r="C96" i="3"/>
  <c r="C102" i="3" s="1"/>
  <c r="E91" i="2"/>
  <c r="E79" i="2"/>
  <c r="E85" i="2" s="1"/>
  <c r="C91" i="4"/>
  <c r="C79" i="4"/>
  <c r="C85" i="4" s="1"/>
  <c r="C97" i="4" s="1"/>
  <c r="D55" i="7"/>
  <c r="D56" i="7" s="1"/>
  <c r="D53" i="7"/>
  <c r="D54" i="7" s="1"/>
  <c r="D57" i="7" s="1"/>
  <c r="D58" i="7" s="1"/>
  <c r="D59" i="7" s="1"/>
  <c r="D60" i="7" s="1"/>
  <c r="D103" i="2"/>
  <c r="D105" i="2" s="1"/>
  <c r="D109" i="2" s="1"/>
  <c r="D106" i="2"/>
  <c r="D107" i="2" s="1"/>
  <c r="J96" i="4"/>
  <c r="J102" i="4" s="1"/>
  <c r="C103" i="2"/>
  <c r="C106" i="2"/>
  <c r="C107" i="2" s="1"/>
  <c r="G91" i="2"/>
  <c r="G79" i="2"/>
  <c r="G85" i="2" s="1"/>
  <c r="G97" i="2" s="1"/>
  <c r="G103" i="2" s="1"/>
  <c r="C55" i="7"/>
  <c r="C56" i="7" s="1"/>
  <c r="C53" i="7"/>
  <c r="C54" i="7" s="1"/>
  <c r="C57" i="7" s="1"/>
  <c r="C58" i="7" s="1"/>
  <c r="C59" i="7" s="1"/>
  <c r="C60" i="7" s="1"/>
  <c r="E91" i="3"/>
  <c r="E79" i="3"/>
  <c r="E85" i="3" s="1"/>
  <c r="E97" i="3" s="1"/>
  <c r="G96" i="2"/>
  <c r="G102" i="2" s="1"/>
  <c r="I91" i="2"/>
  <c r="I79" i="2"/>
  <c r="I85" i="2" s="1"/>
  <c r="I97" i="2" s="1"/>
  <c r="I103" i="2" s="1"/>
  <c r="I105" i="2" s="1"/>
  <c r="I109" i="2" s="1"/>
  <c r="F96" i="2"/>
  <c r="F102" i="2" s="1"/>
  <c r="F105" i="2" s="1"/>
  <c r="F109" i="2" s="1"/>
  <c r="C105" i="2"/>
  <c r="C109" i="2" s="1"/>
  <c r="E106" i="4"/>
  <c r="E107" i="4" s="1"/>
  <c r="E103" i="4"/>
  <c r="E105" i="4" s="1"/>
  <c r="E109" i="4" s="1"/>
  <c r="H97" i="4"/>
  <c r="H103" i="4" s="1"/>
  <c r="H105" i="4" s="1"/>
  <c r="H109" i="4" s="1"/>
  <c r="I96" i="3"/>
  <c r="I102" i="3" s="1"/>
  <c r="I79" i="3"/>
  <c r="I85" i="3" s="1"/>
  <c r="I91" i="3"/>
  <c r="D91" i="3"/>
  <c r="D79" i="3"/>
  <c r="D85" i="3" s="1"/>
  <c r="D97" i="3" s="1"/>
  <c r="C97" i="3" l="1"/>
  <c r="C106" i="3" s="1"/>
  <c r="C107" i="3" s="1"/>
  <c r="E97" i="2"/>
  <c r="C106" i="4"/>
  <c r="C107" i="4" s="1"/>
  <c r="C103" i="4"/>
  <c r="C105" i="4" s="1"/>
  <c r="E57" i="7"/>
  <c r="E58" i="7" s="1"/>
  <c r="E59" i="7" s="1"/>
  <c r="E60" i="7" s="1"/>
  <c r="C103" i="3"/>
  <c r="C105" i="3" s="1"/>
  <c r="D106" i="3"/>
  <c r="D107" i="3" s="1"/>
  <c r="D103" i="3"/>
  <c r="D105" i="3" s="1"/>
  <c r="D109" i="3" s="1"/>
  <c r="E106" i="3"/>
  <c r="E107" i="3" s="1"/>
  <c r="E103" i="3"/>
  <c r="E105" i="3" s="1"/>
  <c r="E109" i="3" s="1"/>
  <c r="J105" i="4"/>
  <c r="J109" i="4" s="1"/>
  <c r="E103" i="2"/>
  <c r="E105" i="2" s="1"/>
  <c r="E109" i="2" s="1"/>
  <c r="K110" i="2" s="1"/>
  <c r="E106" i="2"/>
  <c r="E107" i="2" s="1"/>
  <c r="G105" i="2"/>
  <c r="G109" i="2" s="1"/>
  <c r="I97" i="3"/>
  <c r="I103" i="3" s="1"/>
  <c r="I105" i="3" s="1"/>
  <c r="I109" i="3" s="1"/>
  <c r="C109" i="3" l="1"/>
  <c r="K109" i="2"/>
  <c r="K119" i="2" s="1"/>
  <c r="K122" i="2" s="1"/>
  <c r="B18" i="6" s="1"/>
  <c r="E18" i="6" s="1"/>
  <c r="C109" i="4"/>
  <c r="K110" i="4" l="1"/>
  <c r="K109" i="4"/>
  <c r="K119" i="4" s="1"/>
  <c r="K122" i="4" s="1"/>
  <c r="B19" i="6" s="1"/>
  <c r="E19" i="6" s="1"/>
  <c r="K110" i="3"/>
  <c r="K109" i="3"/>
  <c r="K119" i="3" s="1"/>
  <c r="K122" i="3" s="1"/>
  <c r="B17" i="6" s="1"/>
  <c r="E17" i="6" l="1"/>
  <c r="E21" i="6"/>
  <c r="B21" i="6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FinSurf Q-Update</author>
  </authors>
  <commentList>
    <comment ref="B15" authorId="0" shapeId="0" xr:uid="{00000000-0006-0000-0000-000001000000}">
      <text>
        <r>
          <rPr>
            <sz val="11"/>
            <color theme="1"/>
            <rFont val="Calibri"/>
            <family val="2"/>
            <scheme val="minor"/>
          </rPr>
          <t>Q-Update Q1 2026 · Minority Interest
FY: 5m → aktuell: 10m
Begründung: Q-Bilanz (structural)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FinSurf Q-Update</author>
  </authors>
  <commentList>
    <comment ref="C6" authorId="0" shapeId="0" xr:uid="{00000000-0006-0000-0100-000001000000}">
      <text>
        <r>
          <rPr>
            <sz val="11"/>
            <color theme="1"/>
            <rFont val="Calibri"/>
            <family val="2"/>
            <scheme val="minor"/>
          </rPr>
          <t>Q-Update Q1 2026 · Graphite Solutions · Umsatz-CAGR
FY: 3.0% → aktuell: 1.0%
Begründung: STRUCTURAL UPDATE Q1 2026: Baseline CAGR 3,0% → neu 1,0%. Q1 2026 GS-Umsatz 106,4 Mio. € vs. Q1 2025 116,7 Mio. € = -8,8% YoY. Davon enthält Q1 2026 eine einmalige Ausgleichszahlung von 7,7 Mio. € aus Vertragsanpassung mit einem SiC-Kunden — bereinigt wäre der GS-Umsatz ca. 98,7 Mio. € = -15,4% organisch. Management bestätigt Halbleiter-Trough: 'Wir rechnen erst ab 2027 wieder mit einem Anziehen des Bedarfs.' Segment-Befund zeigt Wachstumsabweichung von -11,8 pp gegenüber Baseline-Annahme. FY...</t>
        </r>
      </text>
    </comment>
    <comment ref="D6" authorId="0" shapeId="0" xr:uid="{00000000-0006-0000-0100-000002000000}">
      <text>
        <r>
          <rPr>
            <sz val="11"/>
            <color theme="1"/>
            <rFont val="Calibri"/>
            <family val="2"/>
            <scheme val="minor"/>
          </rPr>
          <t>Q-Update Q1 2026 · Process Technology · Umsatz-CAGR
FY: 1.0% → aktuell: -3.0%
Begründung: STRUCTURAL UPDATE Q1 2026: Baseline revenue_growth +1,0% → neu -3,0%. Q1 2026 PT-Umsatz 25,5 Mio. € vs. Q1 2025 36,5 Mio. € = -30,1% YoY. Segment-Befund zeigt Wachstumsabweichung -31,1 pp gegenüber Baseline. FY-Guidance bestätigt (Konzern 720-770 Mio. €), PT-Anteil impliziert ca. 100-110 Mio. € FY (Q2-Q4 saisonal stärker, Auftragsabarbeitung). Q1 ist traditionell schwächstes Quartal PT (Projektgeschäft), aber das Ausmaß des Rückgangs (-30,1%) übertrifft deutlich die Baseline-Annahme 'leichte...</t>
        </r>
      </text>
    </comment>
    <comment ref="C7" authorId="0" shapeId="0" xr:uid="{00000000-0006-0000-0100-000003000000}">
      <text>
        <r>
          <rPr>
            <sz val="11"/>
            <color theme="1"/>
            <rFont val="Calibri"/>
            <family val="2"/>
            <scheme val="minor"/>
          </rPr>
          <t>Q-Update Q1 2026 · Graphite Solutions · EBIT-Marge Y1
FY: 10.9% → aktuell: 9.5%
Begründung: STRUCTURAL UPDATE Q1 2026: Q1 2026 GS EBIT bereinigt 10,4 Mio. € / GS-Umsatz 106,4 Mio. € = 9,8% bereinigt. Jedoch enthält GS-Umsatz 7,7 Mio. € einmalige Ausgleichszahlung. Bereinigt um Einmalzahlung: EBIT bereinigt auf Basis organischem Umsatz ~98,7 Mio. € wäre die strukturelle Marge niedriger. EBITDA bereinigt GS Q1 2026: 18,4 Mio. € / 106,4 Mio. € = 17,3% (Q1 2025: 18,5%). Ohne 7,7 Mio. € Sonderertrag: EBITDA bereinigt ~10,7 Mio. € / 98,7 Mio. € = ~10,8% — dies ist die eigentliche Run-Rate...</t>
        </r>
      </text>
    </comment>
    <comment ref="D7" authorId="0" shapeId="0" xr:uid="{00000000-0006-0000-0100-000004000000}">
      <text>
        <r>
          <rPr>
            <sz val="11"/>
            <color theme="1"/>
            <rFont val="Calibri"/>
            <family val="2"/>
            <scheme val="minor"/>
          </rPr>
          <t>Q-Update Q1 2026 · Process Technology · EBIT-Marge Y1
FY: 22.8% → aktuell: 16.0%
Begründung: STRUCTURAL UPDATE Q1 2026: Baseline ebit_margin 22,8% → neu 16,0%. Q1 2026 PT EBIT bereinigt 3,7 Mio. € / 25,5 Mio. € = 14,5%. EBITDA bereinigt 4,1 Mio. € / 25,5 Mio. € = 16,1% (Q1 2025: 30,1%). Segment-Befund: Margenabweichung -8,3 pp. Der Bericht benennt neben Volumeneffekten explizit 'niedrigere Verkaufspreise' als Belastung — Preiserosion ist ein strukturelles Signal, keine saisonale Schwäche. Q1 ist im Projektgeschäft typischerweise schwächer als FY-Durchschnitt (Vergleich: Q1 2025 Marge...</t>
        </r>
      </text>
    </comment>
    <comment ref="C9" authorId="0" shapeId="0" xr:uid="{00000000-0006-0000-0100-000005000000}">
      <text>
        <r>
          <rPr>
            <sz val="11"/>
            <color theme="1"/>
            <rFont val="Calibri"/>
            <family val="2"/>
            <scheme val="minor"/>
          </rPr>
          <t>Q-Update Q1 2026 · Graphite Solutions · EBIT-Marge Y5
FY: 13.5% → aktuell: 12.0%
Begründung: STRUCTURAL UPDATE Q1 2026: Q1 2026 GS EBIT bereinigt 10,4 Mio. € / GS-Umsatz 106,4 Mio. € = 9,8% bereinigt. Jedoch enthält GS-Umsatz 7,7 Mio. € einmalige Ausgleichszahlung. Bereinigt um Einmalzahlung: EBIT bereinigt auf Basis organischem Umsatz ~98,7 Mio. € wäre die strukturelle Marge niedriger. EBITDA bereinigt GS Q1 2026: 18,4 Mio. € / 106,4 Mio. € = 17,3% (Q1 2025: 18,5%). Ohne 7,7 Mio. € Sonderertrag: EBITDA bereinigt ~10,7 Mio. € / 98,7 Mio. € = ~10,8% — dies ist die eigentliche Run-Rate...</t>
        </r>
      </text>
    </comment>
    <comment ref="C13" authorId="0" shapeId="0" xr:uid="{00000000-0006-0000-0100-000006000000}">
      <text>
        <r>
          <rPr>
            <sz val="11"/>
            <color theme="1"/>
            <rFont val="Calibri"/>
            <family val="2"/>
            <scheme val="minor"/>
          </rPr>
          <t>Q-Update Q1 2026 · Graphite Solutions · Terminal Growth
FY: 2.5% → aktuell: 2.0%
Begründung: STRUCTURAL UPDATE Q1 2026: Baseline CAGR 3,0% → neu 1,0%. Q1 2026 GS-Umsatz 106,4 Mio. € vs. Q1 2025 116,7 Mio. € = -8,8% YoY. Davon enthält Q1 2026 eine einmalige Ausgleichszahlung von 7,7 Mio. € aus Vertragsanpassung mit einem SiC-Kunden — bereinigt wäre der GS-Umsatz ca. 98,7 Mio. € = -15,4% organisch. Management bestätigt Halbleiter-Trough: 'Wir rechnen erst ab 2027 wieder mit einem Anziehen des Bedarfs.' Segment-Befund zeigt Wachstumsabweichung von -11,8 pp gegenüber Baseline-Annahme. FY...</t>
        </r>
      </text>
    </comment>
  </commentList>
</comments>
</file>

<file path=xl/sharedStrings.xml><?xml version="1.0" encoding="utf-8"?>
<sst xmlns="http://schemas.openxmlformats.org/spreadsheetml/2006/main" count="614" uniqueCount="332">
  <si>
    <t>FinSurf — SOTP-DCF Inputs</t>
  </si>
  <si>
    <t>Phase 2 v3 — per-Segment WACC (Damodaran β), shared D/E + tax. Column C = Reasoning.</t>
  </si>
  <si>
    <t>── Company ──</t>
  </si>
  <si>
    <t>Company</t>
  </si>
  <si>
    <t>SGL Carbon SE</t>
  </si>
  <si>
    <t>Ticker</t>
  </si>
  <si>
    <t>SGL.DE</t>
  </si>
  <si>
    <t>Currency</t>
  </si>
  <si>
    <t>EUR</t>
  </si>
  <si>
    <t>Report Date (ISO)</t>
  </si>
  <si>
    <t>2025-12-31</t>
  </si>
  <si>
    <t>── Group Bilanz (Y0) ──</t>
  </si>
  <si>
    <t>Shares Outstanding (Mio.)</t>
  </si>
  <si>
    <t>Cash (Mio.)</t>
  </si>
  <si>
    <t>Total Debt ex-Leases (Mio.)</t>
  </si>
  <si>
    <t>Net Debt (Mio.) [calc]</t>
  </si>
  <si>
    <t>Minority Interest (Mio.)</t>
  </si>
  <si>
    <t>── WACC Build-Up (Group-Defaults; Segmente überschreiben β) ──</t>
  </si>
  <si>
    <t>← Reasoning (Writer befüllt)</t>
  </si>
  <si>
    <t>Risk-Free Rate (Rf)</t>
  </si>
  <si>
    <t>Bundesanleihe 10J ca. 31.12.2025</t>
  </si>
  <si>
    <t>Equity Risk Premium (ERP)</t>
  </si>
  <si>
    <t>Damodaran Europe (deterministisch)</t>
  </si>
  <si>
    <t>Unlevered Beta (Group, Fallback)</t>
  </si>
  <si>
    <t>Damodaran Sektor-Beta, aus data/industry_betas.json</t>
  </si>
  <si>
    <t>Target D/E</t>
  </si>
  <si>
    <t>(Kapitalstruktur-Annahme: Writer)</t>
  </si>
  <si>
    <t>Tax Rate</t>
  </si>
  <si>
    <t>(Effektiver Steuersatz: Writer)</t>
  </si>
  <si>
    <t>Levered Beta Group [calc, β→1 konvergiert]</t>
  </si>
  <si>
    <t>Country Risk Premium</t>
  </si>
  <si>
    <t>Deutschland/Europa 48,9% × 0% + USA 18,9% × 0% + China 13,4% × ~2,5% + Restasien 14,5% × ~1,5% + Sonstige 4,3% × ~2% = ca. 30 bps</t>
  </si>
  <si>
    <t>Specific Risk Premium</t>
  </si>
  <si>
    <t>SGL Carbon weist kumulierten Bilanzverlust SE von 1.120,7M€ auf (keine Dividendenfähigkeit). Zwei ausstehende Wandelanleihen (220,6M€ gesamt, Fälligkeit 2027/2028) mit Verwässerungspotenzial. Geringe Marktliquidität als Small-Cap (Börsenwert ca. 380M€). Governance: Standard (keine Mehrheitskontrolle durch einzelnen Aktionär außer SGL Group-Vergangenheit). Basis: balance_sheet und illiquidity (strukturell).</t>
  </si>
  <si>
    <t>Cost of Equity Group [calc, ≥ Kd + Nachrang-Spread]</t>
  </si>
  <si>
    <t>Cost of Debt pre-tax (Kd)</t>
  </si>
  <si>
    <t>Zwei Wandelanleihen Kupon 5,75% gesamt 220,6M€ + sonstige Debt ~27M. Zahlungswirksamer Zins 13,9M / Gross-Financial-Debt ~247M = 5,6%. Gesetzt 5,7% (leicht über gezahltem Satz wegen Refinanzierungsrisiko bei Fälligkeit 2027/2028 in potenziell höherem Zinsumfeld).</t>
  </si>
  <si>
    <t>Cost of Debt after-tax [calc]</t>
  </si>
  <si>
    <t>Equity Weight E/(D+E) [calc]</t>
  </si>
  <si>
    <t>Debt Weight D/(D+E) [calc]</t>
  </si>
  <si>
    <t>WACC Group [calc, =MAX(CAPM, Floor)]</t>
  </si>
  <si>
    <t>── Sensitivity-Shocks (Phase 2.5) ──</t>
  </si>
  <si>
    <t>Margin Shock (pp)</t>
  </si>
  <si>
    <t>Growth Shock (pp)</t>
  </si>
  <si>
    <t>WACC Floor (Group, Sektor-Anker)</t>
  </si>
  <si>
    <t>rf(Whg) + β_low(Sektor)×ERP — Writer (data/wacc_floors)</t>
  </si>
  <si>
    <t>Terminal Debt Weight D/(D+E) (firmeneigen, gehalten)</t>
  </si>
  <si>
    <t>Stable-Phase haelt die aktuelle Kapitalstruktur — Writer (terminal_debt_weight_for: current D/E oder Lock-Override)</t>
  </si>
  <si>
    <t>Terminal Kd pre-tax (Rf + base + slope×wD)</t>
  </si>
  <si>
    <t>Credit-Curve: Spread steigt mit Leverage (Anti-Free-Lunch)</t>
  </si>
  <si>
    <t>Terminal Kd after-tax [calc]</t>
  </si>
  <si>
    <t>Groessenpraemie (Marktkap-Band)</t>
  </si>
  <si>
    <t>Marktkap 495 Mio EUR (SGL.DE) → Small Cap (250-750 Mio): +2.50 pp auf Ke</t>
  </si>
  <si>
    <t>SOTP DCF [Base] — Segment-Level Forecast + Group-Aggregation</t>
  </si>
  <si>
    <t>Yellow = Inputs. Orange = Reasoning (Writer befüllt nach Review-Call). Blue = computed. Green = output.</t>
  </si>
  <si>
    <t>Graphite Solutions</t>
  </si>
  <si>
    <t>Process Technology</t>
  </si>
  <si>
    <t>Fiber Composites</t>
  </si>
  <si>
    <t>Segment 4</t>
  </si>
  <si>
    <t>Segment 5</t>
  </si>
  <si>
    <t>Segment 6</t>
  </si>
  <si>
    <t>Segment 7</t>
  </si>
  <si>
    <t>Segment 8</t>
  </si>
  <si>
    <t>GROUP</t>
  </si>
  <si>
    <t>Segment name</t>
  </si>
  <si>
    <t>Y0 Revenue (Mio.)</t>
  </si>
  <si>
    <t>Revenue CAGR (5J)</t>
  </si>
  <si>
    <t>EBIT Margin Y1</t>
  </si>
  <si>
    <t>EBIT Margin Y1 (berichtet, IST)</t>
  </si>
  <si>
    <t>EBIT Margin Y5 (optional)</t>
  </si>
  <si>
    <t>Brutto-Capex / Revenue (Audit)</t>
  </si>
  <si>
    <t>D&amp;A / Revenue (Audit)</t>
  </si>
  <si>
    <t>Net Capex / Revenue (direkt, Y1)</t>
  </si>
  <si>
    <t>Terminal Growth</t>
  </si>
  <si>
    <t>Unlevered β (Damodaran, Segment)</t>
  </si>
  <si>
    <t>WACC-Floor (Sektor, Damodaran-Anker)</t>
  </si>
  <si>
    <t>Segment WACC [calc, =MAX(CAPM, Floor)]</t>
  </si>
  <si>
    <t>Segment CRP Override (leer = Group-CRP)</t>
  </si>
  <si>
    <t>Growth-Reasoning (Review-Call-Audit)</t>
  </si>
  <si>
    <t>STRUCTURAL UPDATE Q1 2026: Baseline CAGR 3,0% → neu 1,0%. Q1 2026 GS-Umsatz 106,4 Mio. € vs. Q1 2025 116,7 Mio. € = -8,8% YoY. Davon enthält Q1 2026 eine einmalige Ausgleichszahlung von 7,7 Mio. € aus Vertragsanpassung mit einem SiC-Kunden — bereinigt wäre der GS-Umsatz ca. 98,7 Mio. € = -15,4% organisch. Management bestätigt Halbleiter-Trough: 'Wir rechnen erst ab 2027 wieder mit einem Anziehen des Bedarfs.' Segment-Befund zeigt Wachstumsabweichung von -11,8 pp gegenüber Baseline-Annahme. FY...</t>
  </si>
  <si>
    <t>STRUCTURAL UPDATE Q1 2026: Baseline revenue_growth +1,0% → neu -3,0%. Q1 2026 PT-Umsatz 25,5 Mio. € vs. Q1 2025 36,5 Mio. € = -30,1% YoY. Segment-Befund zeigt Wachstumsabweichung -31,1 pp gegenüber Baseline. FY-Guidance bestätigt (Konzern 720-770 Mio. €), PT-Anteil impliziert ca. 100-110 Mio. € FY (Q2-Q4 saisonal stärker, Auftragsabarbeitung). Q1 ist traditionell schwächstes Quartal PT (Projektgeschäft), aber das Ausmaß des Rückgangs (-30,1%) übertrifft deutlich die Baseline-Annahme 'leichte...</t>
  </si>
  <si>
    <t>STRUCTURAL UPDATE Q1 2026: Baseline (CF -5% + CS +2%, kombiniert FC) → neu revenue_growth -25% als neues kombiniertes FC-Segment (last_revenue_m 257,7 Mio. € = CF 148,9 + CS 108,8 aus 2025). Q1 2026 FC-Umsatz 47,7 Mio. € vs. Q1 2025 76,6 Mio. € = -37,7% YoY. Segment-Befund zeigt Wachstumsabweichung -34,2 pp. FY-Guidance Konzern 720-770 Mio. €; GS ~420 Mio. €, PT ~110 Mio. €, Corporate ~19 Mio. € → FC impliziert ~171-221 Mio. € FY, Midpoint ~196 Mio. € ≈ -24% vs. 257,7 Mio. € 2025. Structural-...</t>
  </si>
  <si>
    <t>Margin-Reasoning (Review-Call-Audit)</t>
  </si>
  <si>
    <t>STRUCTURAL UPDATE Q1 2026: Q1 2026 GS EBIT bereinigt 10,4 Mio. € / GS-Umsatz 106,4 Mio. € = 9,8% bereinigt. Jedoch enthält GS-Umsatz 7,7 Mio. € einmalige Ausgleichszahlung. Bereinigt um Einmalzahlung: EBIT bereinigt auf Basis organischem Umsatz ~98,7 Mio. € wäre die strukturelle Marge niedriger. EBITDA bereinigt GS Q1 2026: 18,4 Mio. € / 106,4 Mio. € = 17,3% (Q1 2025: 18,5%). Ohne 7,7 Mio. € Sonderertrag: EBITDA bereinigt ~10,7 Mio. € / 98,7 Mio. € = ~10,8% — dies ist die eigentliche Run-Rate...</t>
  </si>
  <si>
    <t>STRUCTURAL UPDATE Q1 2026: Baseline ebit_margin 22,8% → neu 16,0%. Q1 2026 PT EBIT bereinigt 3,7 Mio. € / 25,5 Mio. € = 14,5%. EBITDA bereinigt 4,1 Mio. € / 25,5 Mio. € = 16,1% (Q1 2025: 30,1%). Segment-Befund: Margenabweichung -8,3 pp. Der Bericht benennt neben Volumeneffekten explizit 'niedrigere Verkaufspreise' als Belastung — Preiserosion ist ein strukturelles Signal, keine saisonale Schwäche. Q1 ist im Projektgeschäft typischerweise schwächer als FY-Durchschnitt (Vergleich: Q1 2025 Marge...</t>
  </si>
  <si>
    <t>STRUCTURAL UPDATE Q1 2026 — POSITIVE ÜBERRASCHUNG: Baseline (CF ~7,1% + CS ~5,1% = kombiniert FC schwach positiv, implizit ~6%) → neu ebit_margin 12,0%. Q1 2026 FC EBIT bereinigt 7,3 Mio. € / 47,7 Mio. € = 15,3%. EBITDA bereinigt 9,0 Mio. € / 47,7 Mio. € = 18,9% (Q1 2025: 2,0%). Segment-Befund: Margenwachstum +9,2 pp über Annahme. Structural-Begründung: Die Restrukturierung des Carbonfasergeschäfts hat eine dauerhaft neue, deutlich verbesserte Kostenbasis geschaffen. Der Bericht ist explizit:...</t>
  </si>
  <si>
    <t>Multiple-Gate (implied vs Sektor-Ceiling)</t>
  </si>
  <si>
    <t>ok: EV/EBITDA 5.4x &lt;= 1.1x x Median 9.7x (materials)</t>
  </si>
  <si>
    <t>WARN: EV/EBITDA 6.6x &lt; 0.4x Median 18.4x — Distress oder Input pruefen (kein Clamp)</t>
  </si>
  <si>
    <t>WARN: EV/EBITDA 1.4x &lt; 0.4x Median 9.7x — Distress oder Input pruefen (kein Clamp)</t>
  </si>
  <si>
    <t>Y1 Revenue</t>
  </si>
  <si>
    <t>Y2 Revenue</t>
  </si>
  <si>
    <t>Y3 Revenue</t>
  </si>
  <si>
    <t>Y4 Revenue</t>
  </si>
  <si>
    <t>Y5 Revenue</t>
  </si>
  <si>
    <t>Net Capex / Revenue Y5 (optional, Forward-Struktur)</t>
  </si>
  <si>
    <t>Y1 EBIT Margin</t>
  </si>
  <si>
    <t>Y2 EBIT Margin</t>
  </si>
  <si>
    <t>Y3 EBIT Margin</t>
  </si>
  <si>
    <t>Y4 EBIT Margin</t>
  </si>
  <si>
    <t>Y5 EBIT Margin</t>
  </si>
  <si>
    <t>Y1 EBIT</t>
  </si>
  <si>
    <t>Y2 EBIT</t>
  </si>
  <si>
    <t>Y3 EBIT</t>
  </si>
  <si>
    <t>Y4 EBIT</t>
  </si>
  <si>
    <t>Y5 EBIT</t>
  </si>
  <si>
    <t>Y1 NOPAT (after-tax)</t>
  </si>
  <si>
    <t>Y2 NOPAT</t>
  </si>
  <si>
    <t>Y3 NOPAT</t>
  </si>
  <si>
    <t>Y4 NOPAT</t>
  </si>
  <si>
    <t>Y5 NOPAT</t>
  </si>
  <si>
    <t>Y1 Net Capex</t>
  </si>
  <si>
    <t>Y2 Net Capex</t>
  </si>
  <si>
    <t>Y3 Net Capex</t>
  </si>
  <si>
    <t>Y4 Net Capex</t>
  </si>
  <si>
    <t>Y5 Net Capex</t>
  </si>
  <si>
    <t>Y1 FCF</t>
  </si>
  <si>
    <t>Y2 FCF</t>
  </si>
  <si>
    <t>Y3 FCF</t>
  </si>
  <si>
    <t>Y4 FCF</t>
  </si>
  <si>
    <t>Y5 FCF</t>
  </si>
  <si>
    <t>PV(FCF Y1)</t>
  </si>
  <si>
    <t>PV(FCF Y2)</t>
  </si>
  <si>
    <t>PV(FCF Y3)</t>
  </si>
  <si>
    <t>PV(FCF Y4)</t>
  </si>
  <si>
    <t>PV(FCF Y5)</t>
  </si>
  <si>
    <t>── Stage-2 Fade Period (Year 6-10) ──</t>
  </si>
  <si>
    <t>Y6 Revenue (Fade)</t>
  </si>
  <si>
    <t>Y7 Revenue (Fade)</t>
  </si>
  <si>
    <t>Y8 Revenue (Fade)</t>
  </si>
  <si>
    <t>Y9 Revenue (Fade)</t>
  </si>
  <si>
    <t>Y10 Revenue (Fade)</t>
  </si>
  <si>
    <t>Y6 EBIT Margin (flat Y5)</t>
  </si>
  <si>
    <t>Y7 EBIT Margin (flat Y5)</t>
  </si>
  <si>
    <t>Y8 EBIT Margin (flat Y5)</t>
  </si>
  <si>
    <t>Y9 EBIT Margin (flat Y5)</t>
  </si>
  <si>
    <t>Y10 EBIT Margin (flat Y5)</t>
  </si>
  <si>
    <t>Y6 EBIT</t>
  </si>
  <si>
    <t>Y7 EBIT</t>
  </si>
  <si>
    <t>Y8 EBIT</t>
  </si>
  <si>
    <t>Y9 EBIT</t>
  </si>
  <si>
    <t>Y10 EBIT</t>
  </si>
  <si>
    <t>Y6 NOPAT</t>
  </si>
  <si>
    <t>Y7 NOPAT</t>
  </si>
  <si>
    <t>Y8 NOPAT</t>
  </si>
  <si>
    <t>Y9 NOPAT</t>
  </si>
  <si>
    <t>Y10 NOPAT</t>
  </si>
  <si>
    <t>Y6 Net Capex</t>
  </si>
  <si>
    <t>Y7 Net Capex</t>
  </si>
  <si>
    <t>Y8 Net Capex</t>
  </si>
  <si>
    <t>Y9 Net Capex</t>
  </si>
  <si>
    <t>Y10 Net Capex</t>
  </si>
  <si>
    <t>Y6 FCF</t>
  </si>
  <si>
    <t>Y7 FCF</t>
  </si>
  <si>
    <t>Y8 FCF</t>
  </si>
  <si>
    <t>Y9 FCF</t>
  </si>
  <si>
    <t>Y10 FCF</t>
  </si>
  <si>
    <t>PV(FCF Y6)</t>
  </si>
  <si>
    <t>PV(FCF Y7)</t>
  </si>
  <si>
    <t>PV(FCF Y8)</t>
  </si>
  <si>
    <t>PV(FCF Y9)</t>
  </si>
  <si>
    <t>PV(FCF Y10)</t>
  </si>
  <si>
    <t>Terminal WACC [calc, β→1 für Fade+Gordon]</t>
  </si>
  <si>
    <t>Σ PV(FCF Y1-Y10)</t>
  </si>
  <si>
    <t>Terminal Value (Gordon, FCF Y10)</t>
  </si>
  <si>
    <t>PV(Terminal Value)</t>
  </si>
  <si>
    <t>Segment EV</t>
  </si>
  <si>
    <t>EV-weighted WACC (avg)</t>
  </si>
  <si>
    <t>− Net Debt (ex Töchter, ex CF-Funding)</t>
  </si>
  <si>
    <t>− Minority Interest (adj.)</t>
  </si>
  <si>
    <t>± Corp. Overhead (kap.)</t>
  </si>
  <si>
    <t>± Töchter (Σ Mutter-Anteile, Block Z.124 ff.)</t>
  </si>
  <si>
    <t>+ Captive Finance (P/B × Equity-BW)</t>
  </si>
  <si>
    <t>± Binary Adj (Netto)</t>
  </si>
  <si>
    <t>± Multiple-Gate Adj (Sektor-Ceiling)</t>
  </si>
  <si>
    <t>− Operating-Cash-Floor (nicht ausschüttbar)</t>
  </si>
  <si>
    <t>Σ Equity Value</t>
  </si>
  <si>
    <t>÷ Shares Outstanding</t>
  </si>
  <si>
    <t>Price Target (per Share)</t>
  </si>
  <si>
    <t>SOTP DCF [Bull] — Segment-Level Forecast + Group-Aggregation</t>
  </si>
  <si>
    <t>SOTP DCF [Bear] — Segment-Level Forecast + Group-Aggregation</t>
  </si>
  <si>
    <t>SOTP — Binary Adjustments (Post-DCF)</t>
  </si>
  <si>
    <t>Einmal-Ereignisse: Litigation, M&amp;A, Restrukturierungen. Litigation IMMER negativ (Litigation-Sign-Lock). Netto = EV-Impact × Probability.</t>
  </si>
  <si>
    <t>Writer befüllt aus analysis.binary_adjustments.</t>
  </si>
  <si>
    <t>Name</t>
  </si>
  <si>
    <t>EV-Impact (Mio.)</t>
  </si>
  <si>
    <t>Probability</t>
  </si>
  <si>
    <t>Netto-EV (Mio.)</t>
  </si>
  <si>
    <t>Beschreibung / Evidenz</t>
  </si>
  <si>
    <t>Wandelanleihe-Refinanzierungsrisiko 2027/2028</t>
  </si>
  <si>
    <t>Wandelanleihe 2022/2027 (101,9M) und 2023/2028 (118,7M) müssen bei Fälligkeit refinanziert werden. Bei negativem Konzernergebnis und kumuliertem Bilanzverlust könnte Refinanzierung zu deutlich höheren Kosten oder mit Aktienverwässerung erfolgen. Barwert des Schaden-Szenarios bei +2pp höherem Refinanzierungszins über 5J auf 220M = ~22M, Wahrscheinlichkeit 30% = EV -6,6M. Szenario Aktienemission zusätzlich.</t>
  </si>
  <si>
    <t>Geopolitisches Rohstoff-/Energiepreisrisiko Naher Osten</t>
  </si>
  <si>
    <t>Q1 2026 Bericht ergänzt Risikoreport: Bewaffneter Konflikt im Nahen/Mittleren Osten erhöht Risiken für Rohstoffverfügbarkeit und Energiepreise. Beeinträchtigung Straße von Hormus könnte Rohstoffkosten erhöhen. SGL Carbon hat umfangreiches Energie-Hedging (aktuell geringes Energiepreisrisiko), aber Rohstoffrisiko bleibt signifikant. EV = -20M Schaden × 25% Wahrscheinlichkeit = -5M.</t>
  </si>
  <si>
    <t>Netto gesamt (Mio.)</t>
  </si>
  <si>
    <t>Netto pro Aktie</t>
  </si>
  <si>
    <t>SOTP — Bull/Base/Bear-Szenarien</t>
  </si>
  <si>
    <t>Pro Case ein eigenständiges DCF-Sheet (DCF Bull/Base/Bear). Die Group-PTs unten referenzieren diese Sheets LIVE — jeder Case ist segment-genau nachrechenbar.</t>
  </si>
  <si>
    <t>── Segment-Annahmen (pro Case) ──</t>
  </si>
  <si>
    <t>Segment</t>
  </si>
  <si>
    <t>CAGR Bull</t>
  </si>
  <si>
    <t>CAGR Base</t>
  </si>
  <si>
    <t>CAGR Bear</t>
  </si>
  <si>
    <t>Marge Y1 Bull</t>
  </si>
  <si>
    <t>Marge Y1 Base</t>
  </si>
  <si>
    <t>Marge Y1 Bear</t>
  </si>
  <si>
    <t>TG Bull</t>
  </si>
  <si>
    <t>TG Base</t>
  </si>
  <si>
    <t>TG Bear</t>
  </si>
  <si>
    <t>β_lev</t>
  </si>
  <si>
    <t>Δ Marge (pp)</t>
  </si>
  <si>
    <t>── Group Kursziele (live aus DCF-Sheets) ──</t>
  </si>
  <si>
    <t>Szenario</t>
  </si>
  <si>
    <t>PT roh (€/Aktie)</t>
  </si>
  <si>
    <t>Wahrscheinlichkeit</t>
  </si>
  <si>
    <t>Quelle</t>
  </si>
  <si>
    <t>PT nach Floor (≥0)</t>
  </si>
  <si>
    <t>Bull</t>
  </si>
  <si>
    <t>'DCF Bull'!K122</t>
  </si>
  <si>
    <t>Base</t>
  </si>
  <si>
    <t>'DCF Base'!K122</t>
  </si>
  <si>
    <t>Bear</t>
  </si>
  <si>
    <t>'DCF Bear'!K122</t>
  </si>
  <si>
    <t>#0a: Cases fließen ROH in die Gewichtung (Spalte B — ein negativer Bear trägt sein Downside); Floor (≥0) nur auf dem Aggregat. Spalte E = Anzeige je realisiertem Case.</t>
  </si>
  <si>
    <t>Gewichtetes Kursziel (Headline)</t>
  </si>
  <si>
    <t>Rohwert (vor 0-Floor):</t>
  </si>
  <si>
    <t>Sentiment (Wahrscheinlichkeits-Quelle)</t>
  </si>
  <si>
    <t>neutral</t>
  </si>
  <si>
    <t>Markt-implizit — Was muss passieren, damit der Kurs fair value ist?</t>
  </si>
  <si>
    <t>REIN ERKLÄREND, keine Bewertung. Kalibrierter Group-DCF: Base = Headline-PT (exakt), jede Hebel-Spalte = Marktpreis (exakt). Vereinfachte Group-Sicht; volle Segment-Granularität in den DCF-Sheets.</t>
  </si>
  <si>
    <t>Aktueller Kurs (Markt)</t>
  </si>
  <si>
    <t>Intrinsisch (Headline-PT)</t>
  </si>
  <si>
    <t>Divergenz (intrinsisch vs Markt)</t>
  </si>
  <si>
    <t>Trigger (|Divergenz| &gt; 25% ⇒ Analyse)</t>
  </si>
  <si>
    <t>nein — fair bewertet</t>
  </si>
  <si>
    <t>Impl. CAGR</t>
  </si>
  <si>
    <t>Impl. Marge</t>
  </si>
  <si>
    <t>Impl. WACC</t>
  </si>
  <si>
    <t>Group-Revenue Y0 (Mio.)</t>
  </si>
  <si>
    <t>Revenue-CAGR</t>
  </si>
  <si>
    <t>EBIT-Marge Y1</t>
  </si>
  <si>
    <t>Terminal-Marge (Y5)</t>
  </si>
  <si>
    <t>Net-Capex / Revenue</t>
  </si>
  <si>
    <t>WACC (Diskontierung)</t>
  </si>
  <si>
    <t>Steuersatz</t>
  </si>
  <si>
    <t>+ Aggregations-Bridge (Mio.)</t>
  </si>
  <si>
    <t>+ Bilanz/Overhead/CF/Binary/Szen. (Mio.)</t>
  </si>
  <si>
    <t>Aktien (Mio.)</t>
  </si>
  <si>
    <t>Revenue Y1</t>
  </si>
  <si>
    <t>Revenue Y2</t>
  </si>
  <si>
    <t>Revenue Y3</t>
  </si>
  <si>
    <t>Revenue Y4</t>
  </si>
  <si>
    <t>Revenue Y5</t>
  </si>
  <si>
    <t>Revenue Y6</t>
  </si>
  <si>
    <t>Revenue Y7</t>
  </si>
  <si>
    <t>Revenue Y8</t>
  </si>
  <si>
    <t>Revenue Y9</t>
  </si>
  <si>
    <t>Revenue Y10</t>
  </si>
  <si>
    <t>FCF Y1</t>
  </si>
  <si>
    <t>FCF Y2</t>
  </si>
  <si>
    <t>FCF Y3</t>
  </si>
  <si>
    <t>FCF Y4</t>
  </si>
  <si>
    <t>FCF Y5</t>
  </si>
  <si>
    <t>FCF Y6</t>
  </si>
  <si>
    <t>FCF Y7</t>
  </si>
  <si>
    <t>FCF Y8</t>
  </si>
  <si>
    <t>FCF Y9</t>
  </si>
  <si>
    <t>FCF Y10</t>
  </si>
  <si>
    <t>Group-DCF-EV</t>
  </si>
  <si>
    <t>Equity (EV + Bridges)</t>
  </si>
  <si>
    <t>Kursziel / Aktie</t>
  </si>
  <si>
    <t>PT − Ziel (Base=Headline, Hebel=Markt ⇒ ≈0)</t>
  </si>
  <si>
    <t>── Handels-Multiples (Yahoo Finance) — Kontext, KEINE Bewertung ──</t>
  </si>
  <si>
    <t>EV/Sales (primär — SBC-agnostisch)</t>
  </si>
  <si>
    <t>EV/EBITDA (nachrichtl., SBC-verzerrt)</t>
  </si>
  <si>
    <t>KGV trailing (nachrichtl., SBC-verzerrt)</t>
  </si>
  <si>
    <t>KGV forward</t>
  </si>
  <si>
    <t>Kurs/Buchwert</t>
  </si>
  <si>
    <t>EV/Sales-Historie (~5J, indikativ; split-bereinigt)</t>
  </si>
  <si>
    <t>Jahr</t>
  </si>
  <si>
    <t>EV/Sales</t>
  </si>
  <si>
    <t>── EV/EBITDA: Markt heute vs unser Kursziel vs 5J-Eigenhistorie — deskriptiv, KEIN Kursziel ──</t>
  </si>
  <si>
    <t>EV am Marktpreis (Group, Mio.)</t>
  </si>
  <si>
    <t>EV an unserem Kursziel (Group, Mio.)</t>
  </si>
  <si>
    <t>Group-EBITDA trailing (Mio.)</t>
  </si>
  <si>
    <t>Group-EBITDA t+1 (unsere Y1-Schätzung, Mio.)</t>
  </si>
  <si>
    <t>EV/EBITDA — Markt heute (trailing)</t>
  </si>
  <si>
    <t>EV/EBITDA — unser Kursziel (trailing)</t>
  </si>
  <si>
    <t>EV/EBITDA — Markt heute (t+1)</t>
  </si>
  <si>
    <t>EV/EBITDA — unser Kursziel (t+1)</t>
  </si>
  <si>
    <t>Eigene 5J-EV/EBITDA-Spanne (indikativ) — Anker für die Einordnung</t>
  </si>
  <si>
    <t>5J Minimum</t>
  </si>
  <si>
    <t>5J Median</t>
  </si>
  <si>
    <t>5J Maximum</t>
  </si>
  <si>
    <t>Markt vs unsere Annahmen</t>
  </si>
  <si>
    <t>Markt ≈ unsere Annahmen</t>
  </si>
  <si>
    <t>Einordnung</t>
  </si>
  <si>
    <t>Der Markt zahlt heute rund 5.4x EV/EBITDA (trailing). Unser Kursziel entspricht rund 4.8x auf dem heutigen EBITDA (gleiche Basis, direkt mit der eigenen Historie vergleichbar). Das Markt-Niveau liegt im mittleren Bereich der eigenen 5J-Spanne (4.0x bis 6.4x). Markt und unser Kursziel implizieren ein nahezu gleiches Multiple. Auf unserer Ergebnisschätzung für das kommende Jahr (t+1) entspricht das Kursziel rund 3.9x, der Markt 4.3x (anderer Nenner, nicht mit der Historie vergleichbar).</t>
  </si>
  <si>
    <t>── Peer-Gruppe: β-Herleitung (3J-Regression, Blume, unlevered) + Multiples-Band — deskriptiv ──</t>
  </si>
  <si>
    <t>β unlevered — Peer-Median (im WACC verwendet)</t>
  </si>
  <si>
    <t>Peer EV/EBITDA min / median / max (trailing)</t>
  </si>
  <si>
    <t>Peer</t>
  </si>
  <si>
    <t>β unlev</t>
  </si>
  <si>
    <t>β lev</t>
  </si>
  <si>
    <t>D/E (Markt)</t>
  </si>
  <si>
    <t>EV/EBITDA</t>
  </si>
  <si>
    <t>HXL</t>
  </si>
  <si>
    <t>EAF</t>
  </si>
  <si>
    <t>SOLB.BR</t>
  </si>
  <si>
    <t>Named-Range Targets (für sotp_valuation.py)</t>
  </si>
  <si>
    <t>Diese Sheet ist nur ein Index — die echten Werte stehen in Inputs/DCF.</t>
  </si>
  <si>
    <t>OUT_WACC (EV-weighted avg)</t>
  </si>
  <si>
    <t>'DCF Base'!K110</t>
  </si>
  <si>
    <t>OUT_NET_DEBT</t>
  </si>
  <si>
    <t>Inputs!B14</t>
  </si>
  <si>
    <t>OUT_MINORITY</t>
  </si>
  <si>
    <t>Inputs!B15</t>
  </si>
  <si>
    <t>OUT_SHARES</t>
  </si>
  <si>
    <t>Inputs!B11</t>
  </si>
  <si>
    <t>OUT_GROUP_EV</t>
  </si>
  <si>
    <t>'DCF Base'!K109</t>
  </si>
  <si>
    <t>OUT_EQUITY</t>
  </si>
  <si>
    <t>'DCF Base'!K119</t>
  </si>
  <si>
    <t>OUT_PRICE_TARGET</t>
  </si>
  <si>
    <t>OUT_SEG_EV_i</t>
  </si>
  <si>
    <t>'DCF Base'!C..J109 (i=1..8)</t>
  </si>
  <si>
    <t>OUT_SEG_WACC_i</t>
  </si>
  <si>
    <t>'DCF Base'!C..J16 (i=1..8)</t>
  </si>
  <si>
    <t>— Szenario-PTs —</t>
  </si>
  <si>
    <t>(Szenarien-Sheet, live ref auf je DCF-Sheet)</t>
  </si>
  <si>
    <t>DCF Bull → PT</t>
  </si>
  <si>
    <t>DCF Base → PT</t>
  </si>
  <si>
    <t>DCF Bear → PT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</si>
</sst>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0.0&quot;x&quot;"/>
    <numFmt numFmtId="166" formatCode="0.00&quot;x&quot;"/>
    <numFmt numFmtId="167" formatCode="0.0"/>
  </numFmts>
  <fonts count="11" x14ac:knownFonts="1">
    <font>
      <sz val="11"/>
      <color theme="1"/>
      <name val="Calibri"/>
      <family val="2"/>
      <scheme val="minor"/>
    </font>
    <font>
      <b/>
      <sz val="14"/>
      <name val="Calibri"/>
    </font>
    <font>
      <i/>
      <sz val="11"/>
      <color rgb="FF666666"/>
      <name val="Calibri"/>
    </font>
    <font>
      <b/>
      <sz val="11"/>
      <name val="Calibri"/>
    </font>
    <font>
      <i/>
      <sz val="11"/>
      <color rgb="FF886600"/>
      <name val="Calibri"/>
    </font>
    <font>
      <i/>
      <sz val="11"/>
      <color rgb="FFCC5500"/>
      <name val="Calibri"/>
    </font>
    <font>
      <i/>
      <sz val="9"/>
      <name val="Calibri"/>
    </font>
    <font>
      <b/>
      <sz val="12"/>
      <color rgb="FF0B5C2E"/>
      <name val="Calibri"/>
    </font>
    <font>
      <b/>
      <sz val="13"/>
      <name val="Calibri"/>
    </font>
    <font>
      <b/>
      <sz val="12"/>
      <name val="Calibri"/>
    </font>
    <font>
      <b/>
      <sz val="11"/>
      <name val="Calibri"/>
    </font>
  </fonts>
  <fills count="10">
    <fill>
      <patternFill patternType="none"/>
    </fill>
    <fill>
      <patternFill patternType="gray125"/>
    </fill>
    <fill>
      <patternFill patternType="solid">
        <fgColor rgb="FFEEEEEE"/>
      </patternFill>
    </fill>
    <fill>
      <patternFill patternType="solid">
        <fgColor rgb="FFFFF2A0"/>
      </patternFill>
    </fill>
    <fill>
      <patternFill patternType="solid">
        <fgColor rgb="FFDCE6F2"/>
      </patternFill>
    </fill>
    <fill>
      <patternFill patternType="solid">
        <fgColor rgb="FFC8E6C9"/>
      </patternFill>
    </fill>
    <fill>
      <patternFill patternType="solid">
        <fgColor rgb="FFFFE0B2"/>
      </patternFill>
    </fill>
    <fill>
      <patternFill patternType="solid">
        <fgColor rgb="FFFFF2A0"/>
      </patternFill>
    </fill>
    <fill>
      <patternFill patternType="solid">
        <fgColor rgb="FFDCE6F2"/>
      </patternFill>
    </fill>
    <fill>
      <patternFill patternType="solid">
        <fgColor rgb="FFE1BEE7"/>
      </patternFill>
    </fill>
  </fills>
  <borders count="3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/>
    <xf numFmtId="0" fontId="2" fillId="0" borderId="0" xfId="0" applyFont="1"/>
    <xf numFmtId="0" fontId="0" fillId="2" borderId="0" xfId="0" applyFill="1"/>
    <xf numFmtId="0" fontId="3" fillId="0" borderId="0" xfId="0" applyFont="1"/>
    <xf numFmtId="4" fontId="0" fillId="3" borderId="1" xfId="0" applyNumberFormat="1" applyFill="1" applyBorder="1"/>
    <xf numFmtId="4" fontId="0" fillId="4" borderId="1" xfId="0" applyNumberFormat="1" applyFill="1" applyBorder="1"/>
    <xf numFmtId="10" fontId="0" fillId="3" borderId="1" xfId="0" applyNumberFormat="1" applyFill="1" applyBorder="1"/>
    <xf numFmtId="0" fontId="2" fillId="2" borderId="0" xfId="0" applyFont="1" applyFill="1"/>
    <xf numFmtId="2" fontId="0" fillId="3" borderId="1" xfId="0" applyNumberFormat="1" applyFill="1" applyBorder="1"/>
    <xf numFmtId="2" fontId="0" fillId="4" borderId="1" xfId="0" applyNumberFormat="1" applyFill="1" applyBorder="1"/>
    <xf numFmtId="10" fontId="0" fillId="4" borderId="1" xfId="0" applyNumberFormat="1" applyFill="1" applyBorder="1"/>
    <xf numFmtId="10" fontId="3" fillId="5" borderId="1" xfId="0" applyNumberFormat="1" applyFont="1" applyFill="1" applyBorder="1"/>
    <xf numFmtId="0" fontId="3" fillId="2" borderId="0" xfId="0" applyFont="1" applyFill="1" applyAlignment="1">
      <alignment horizontal="center"/>
    </xf>
    <xf numFmtId="0" fontId="0" fillId="3" borderId="1" xfId="0" applyFill="1" applyBorder="1" applyAlignment="1">
      <alignment horizontal="center"/>
    </xf>
    <xf numFmtId="10" fontId="0" fillId="2" borderId="1" xfId="0" applyNumberFormat="1" applyFill="1" applyBorder="1"/>
    <xf numFmtId="0" fontId="4" fillId="0" borderId="0" xfId="0" applyFont="1"/>
    <xf numFmtId="0" fontId="5" fillId="0" borderId="0" xfId="0" applyFont="1"/>
    <xf numFmtId="0" fontId="6" fillId="6" borderId="1" xfId="0" applyFont="1" applyFill="1" applyBorder="1" applyAlignment="1">
      <alignment horizontal="left" vertical="top" wrapText="1"/>
    </xf>
    <xf numFmtId="0" fontId="3" fillId="5" borderId="0" xfId="0" applyFont="1" applyFill="1"/>
    <xf numFmtId="4" fontId="3" fillId="5" borderId="1" xfId="0" applyNumberFormat="1" applyFont="1" applyFill="1" applyBorder="1"/>
    <xf numFmtId="4" fontId="7" fillId="5" borderId="1" xfId="0" applyNumberFormat="1" applyFont="1" applyFill="1" applyBorder="1"/>
    <xf numFmtId="0" fontId="3" fillId="2" borderId="1" xfId="0" applyFont="1" applyFill="1" applyBorder="1"/>
    <xf numFmtId="49" fontId="0" fillId="3" borderId="1" xfId="0" applyNumberFormat="1" applyFill="1" applyBorder="1"/>
    <xf numFmtId="49" fontId="0" fillId="3" borderId="1" xfId="0" applyNumberFormat="1" applyFill="1" applyBorder="1" applyAlignment="1">
      <alignment vertical="top" wrapText="1"/>
    </xf>
    <xf numFmtId="0" fontId="3" fillId="2" borderId="1" xfId="0" applyFont="1" applyFill="1" applyBorder="1" applyAlignment="1">
      <alignment horizontal="center" wrapText="1"/>
    </xf>
    <xf numFmtId="0" fontId="0" fillId="0" borderId="1" xfId="0" applyBorder="1"/>
    <xf numFmtId="0" fontId="2" fillId="0" borderId="1" xfId="0" applyFont="1" applyBorder="1"/>
    <xf numFmtId="0" fontId="8" fillId="0" borderId="0" xfId="0" applyFont="1"/>
    <xf numFmtId="164" fontId="0" fillId="4" borderId="1" xfId="0" applyNumberFormat="1" applyFill="1" applyBorder="1"/>
    <xf numFmtId="0" fontId="0" fillId="4" borderId="0" xfId="0" applyFill="1"/>
    <xf numFmtId="0" fontId="3" fillId="2" borderId="0" xfId="0" applyFont="1" applyFill="1"/>
    <xf numFmtId="4" fontId="0" fillId="5" borderId="1" xfId="0" applyNumberFormat="1" applyFill="1" applyBorder="1"/>
    <xf numFmtId="165" fontId="0" fillId="5" borderId="1" xfId="0" applyNumberFormat="1" applyFill="1" applyBorder="1"/>
    <xf numFmtId="0" fontId="9" fillId="0" borderId="0" xfId="0" applyFont="1"/>
    <xf numFmtId="0" fontId="10" fillId="0" borderId="2" xfId="0" applyFont="1" applyBorder="1" applyAlignment="1">
      <alignment horizontal="center"/>
    </xf>
    <xf numFmtId="164" fontId="0" fillId="0" borderId="2" xfId="0" applyNumberFormat="1" applyBorder="1" applyAlignment="1">
      <alignment horizontal="center"/>
    </xf>
    <xf numFmtId="4" fontId="0" fillId="0" borderId="2" xfId="0" applyNumberFormat="1" applyBorder="1" applyAlignment="1">
      <alignment horizontal="center"/>
    </xf>
    <xf numFmtId="164" fontId="0" fillId="7" borderId="2" xfId="0" applyNumberFormat="1" applyFill="1" applyBorder="1" applyAlignment="1">
      <alignment horizontal="center"/>
    </xf>
    <xf numFmtId="0" fontId="0" fillId="8" borderId="2" xfId="0" applyFill="1" applyBorder="1"/>
    <xf numFmtId="4" fontId="0" fillId="3" borderId="2" xfId="0" applyNumberFormat="1" applyFill="1" applyBorder="1"/>
    <xf numFmtId="0" fontId="0" fillId="4" borderId="2" xfId="0" applyFill="1" applyBorder="1"/>
    <xf numFmtId="3" fontId="0" fillId="3" borderId="2" xfId="0" applyNumberFormat="1" applyFill="1" applyBorder="1"/>
    <xf numFmtId="10" fontId="0" fillId="3" borderId="2" xfId="0" applyNumberFormat="1" applyFill="1" applyBorder="1"/>
    <xf numFmtId="10" fontId="0" fillId="7" borderId="2" xfId="0" applyNumberFormat="1" applyFill="1" applyBorder="1"/>
    <xf numFmtId="166" fontId="0" fillId="4" borderId="2" xfId="0" applyNumberFormat="1" applyFill="1" applyBorder="1"/>
    <xf numFmtId="165" fontId="0" fillId="4" borderId="2" xfId="0" applyNumberFormat="1" applyFill="1" applyBorder="1"/>
    <xf numFmtId="167" fontId="0" fillId="4" borderId="2" xfId="0" applyNumberFormat="1" applyFill="1" applyBorder="1"/>
    <xf numFmtId="0" fontId="0" fillId="0" borderId="2" xfId="0" applyBorder="1"/>
    <xf numFmtId="166" fontId="0" fillId="0" borderId="2" xfId="0" applyNumberFormat="1" applyBorder="1"/>
    <xf numFmtId="3" fontId="0" fillId="4" borderId="2" xfId="0" applyNumberFormat="1" applyFill="1" applyBorder="1"/>
    <xf numFmtId="0" fontId="0" fillId="5" borderId="2" xfId="0" applyFill="1" applyBorder="1"/>
    <xf numFmtId="2" fontId="0" fillId="5" borderId="2" xfId="0" applyNumberFormat="1" applyFill="1" applyBorder="1"/>
    <xf numFmtId="2" fontId="0" fillId="0" borderId="2" xfId="0" applyNumberFormat="1" applyBorder="1"/>
    <xf numFmtId="165" fontId="0" fillId="0" borderId="2" xfId="0" applyNumberFormat="1" applyBorder="1"/>
    <xf numFmtId="4" fontId="0" fillId="9" borderId="1" xfId="0" applyNumberFormat="1" applyFill="1" applyBorder="1"/>
    <xf numFmtId="10" fontId="0" fillId="9" borderId="1" xfId="0" applyNumberFormat="1" applyFill="1" applyBorder="1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9"/>
  <sheetViews>
    <sheetView tabSelected="1" workbookViewId="0"/>
  </sheetViews>
  <sheetFormatPr baseColWidth="10" defaultColWidth="9.23046875" defaultRowHeight="14.6" x14ac:dyDescent="0.4"/>
  <cols>
    <col min="1" max="1" width="32" customWidth="1"/>
    <col min="2" max="2" width="18" customWidth="1"/>
    <col min="3" max="3" width="60" customWidth="1"/>
  </cols>
  <sheetData>
    <row r="1" spans="1:2" ht="18.45" customHeight="1" x14ac:dyDescent="0.5">
      <c r="A1" s="1" t="s">
        <v>0</v>
      </c>
    </row>
    <row r="2" spans="1:2" x14ac:dyDescent="0.4">
      <c r="A2" s="2" t="s">
        <v>1</v>
      </c>
    </row>
    <row r="4" spans="1:2" x14ac:dyDescent="0.4">
      <c r="A4" s="3" t="s">
        <v>2</v>
      </c>
    </row>
    <row r="5" spans="1:2" x14ac:dyDescent="0.4">
      <c r="A5" s="4" t="s">
        <v>3</v>
      </c>
      <c r="B5" t="s">
        <v>4</v>
      </c>
    </row>
    <row r="6" spans="1:2" x14ac:dyDescent="0.4">
      <c r="A6" s="4" t="s">
        <v>5</v>
      </c>
      <c r="B6" t="s">
        <v>6</v>
      </c>
    </row>
    <row r="7" spans="1:2" x14ac:dyDescent="0.4">
      <c r="A7" s="4" t="s">
        <v>7</v>
      </c>
      <c r="B7" t="s">
        <v>8</v>
      </c>
    </row>
    <row r="8" spans="1:2" x14ac:dyDescent="0.4">
      <c r="A8" s="4" t="s">
        <v>9</v>
      </c>
      <c r="B8" t="s">
        <v>10</v>
      </c>
    </row>
    <row r="10" spans="1:2" x14ac:dyDescent="0.4">
      <c r="A10" s="3" t="s">
        <v>11</v>
      </c>
    </row>
    <row r="11" spans="1:2" x14ac:dyDescent="0.4">
      <c r="A11" s="4" t="s">
        <v>12</v>
      </c>
      <c r="B11" s="5">
        <v>122.3</v>
      </c>
    </row>
    <row r="12" spans="1:2" x14ac:dyDescent="0.4">
      <c r="A12" s="4" t="s">
        <v>13</v>
      </c>
      <c r="B12" s="5">
        <v>147.30000000000001</v>
      </c>
    </row>
    <row r="13" spans="1:2" x14ac:dyDescent="0.4">
      <c r="A13" s="4" t="s">
        <v>14</v>
      </c>
      <c r="B13" s="5">
        <v>245.4</v>
      </c>
    </row>
    <row r="14" spans="1:2" x14ac:dyDescent="0.4">
      <c r="A14" s="4" t="s">
        <v>15</v>
      </c>
      <c r="B14" s="6">
        <f>B13-B12</f>
        <v>98.1</v>
      </c>
    </row>
    <row r="15" spans="1:2" x14ac:dyDescent="0.4">
      <c r="A15" s="4" t="s">
        <v>16</v>
      </c>
      <c r="B15" s="55">
        <v>10</v>
      </c>
    </row>
    <row r="17" spans="1:3" x14ac:dyDescent="0.4">
      <c r="A17" s="3" t="s">
        <v>17</v>
      </c>
      <c r="C17" s="2" t="s">
        <v>18</v>
      </c>
    </row>
    <row r="18" spans="1:3" x14ac:dyDescent="0.4">
      <c r="A18" s="4" t="s">
        <v>19</v>
      </c>
      <c r="B18" s="7">
        <v>2.5000000000000001E-2</v>
      </c>
      <c r="C18" s="8" t="s">
        <v>20</v>
      </c>
    </row>
    <row r="19" spans="1:3" x14ac:dyDescent="0.4">
      <c r="A19" s="4" t="s">
        <v>21</v>
      </c>
      <c r="B19" s="7">
        <v>5.7027500000000002E-2</v>
      </c>
      <c r="C19" s="8" t="s">
        <v>22</v>
      </c>
    </row>
    <row r="20" spans="1:3" x14ac:dyDescent="0.4">
      <c r="A20" s="4" t="s">
        <v>23</v>
      </c>
      <c r="B20" s="9">
        <v>1.0149999999999999</v>
      </c>
      <c r="C20" s="8" t="s">
        <v>24</v>
      </c>
    </row>
    <row r="21" spans="1:3" x14ac:dyDescent="0.4">
      <c r="A21" s="4" t="s">
        <v>25</v>
      </c>
      <c r="B21" s="9">
        <v>0.505</v>
      </c>
      <c r="C21" s="8" t="s">
        <v>26</v>
      </c>
    </row>
    <row r="22" spans="1:3" x14ac:dyDescent="0.4">
      <c r="A22" s="4" t="s">
        <v>27</v>
      </c>
      <c r="B22" s="7">
        <v>0.3</v>
      </c>
      <c r="C22" s="8" t="s">
        <v>28</v>
      </c>
    </row>
    <row r="23" spans="1:3" x14ac:dyDescent="0.4">
      <c r="A23" s="4" t="s">
        <v>29</v>
      </c>
      <c r="B23" s="10">
        <f>(1-0.33)*(B20*(1+(1-B22)*B21))+0.33</f>
        <v>1.2504476749999998</v>
      </c>
    </row>
    <row r="24" spans="1:3" x14ac:dyDescent="0.4">
      <c r="A24" s="4" t="s">
        <v>30</v>
      </c>
      <c r="B24" s="7">
        <v>3.0000000000000001E-3</v>
      </c>
      <c r="C24" s="8" t="s">
        <v>31</v>
      </c>
    </row>
    <row r="25" spans="1:3" x14ac:dyDescent="0.4">
      <c r="A25" s="4" t="s">
        <v>32</v>
      </c>
      <c r="B25" s="7">
        <v>5.0000000000000001E-3</v>
      </c>
      <c r="C25" s="8" t="s">
        <v>33</v>
      </c>
    </row>
    <row r="26" spans="1:3" x14ac:dyDescent="0.4">
      <c r="A26" s="4" t="s">
        <v>34</v>
      </c>
      <c r="B26" s="11">
        <f>MAX(B18+B23*B19+B24+B25+B39,MIN(B27,0.08)+0.025)</f>
        <v>0.1293099047860625</v>
      </c>
    </row>
    <row r="27" spans="1:3" x14ac:dyDescent="0.4">
      <c r="A27" s="4" t="s">
        <v>35</v>
      </c>
      <c r="B27" s="7">
        <v>5.7000000000000002E-2</v>
      </c>
      <c r="C27" s="8" t="s">
        <v>36</v>
      </c>
    </row>
    <row r="28" spans="1:3" x14ac:dyDescent="0.4">
      <c r="A28" s="4" t="s">
        <v>37</v>
      </c>
      <c r="B28" s="11">
        <f>B27*(1-B22)</f>
        <v>3.9899999999999998E-2</v>
      </c>
    </row>
    <row r="29" spans="1:3" x14ac:dyDescent="0.4">
      <c r="A29" s="4" t="s">
        <v>38</v>
      </c>
      <c r="B29" s="11">
        <f>1/(1+B21)</f>
        <v>0.66445182724252494</v>
      </c>
    </row>
    <row r="30" spans="1:3" x14ac:dyDescent="0.4">
      <c r="A30" s="4" t="s">
        <v>39</v>
      </c>
      <c r="B30" s="11">
        <f>B21/(1+B21)</f>
        <v>0.33554817275747512</v>
      </c>
    </row>
    <row r="31" spans="1:3" x14ac:dyDescent="0.4">
      <c r="A31" s="4" t="s">
        <v>40</v>
      </c>
      <c r="B31" s="12">
        <f>MAX(B26*B29+B28*B30,B35)</f>
        <v>9.9308574608679395E-2</v>
      </c>
    </row>
    <row r="32" spans="1:3" x14ac:dyDescent="0.4">
      <c r="A32" s="3" t="s">
        <v>41</v>
      </c>
    </row>
    <row r="33" spans="1:3" x14ac:dyDescent="0.4">
      <c r="A33" s="4" t="s">
        <v>42</v>
      </c>
      <c r="B33" s="7">
        <v>2.5000000000000001E-2</v>
      </c>
    </row>
    <row r="34" spans="1:3" x14ac:dyDescent="0.4">
      <c r="A34" s="4" t="s">
        <v>43</v>
      </c>
      <c r="B34" s="7">
        <v>1.4999999999999999E-2</v>
      </c>
    </row>
    <row r="35" spans="1:3" x14ac:dyDescent="0.4">
      <c r="A35" s="4" t="s">
        <v>44</v>
      </c>
      <c r="B35" s="7">
        <v>0</v>
      </c>
      <c r="C35" s="8" t="s">
        <v>45</v>
      </c>
    </row>
    <row r="36" spans="1:3" x14ac:dyDescent="0.4">
      <c r="A36" s="4" t="s">
        <v>46</v>
      </c>
      <c r="B36" s="7">
        <v>0.2359</v>
      </c>
      <c r="C36" s="8" t="s">
        <v>47</v>
      </c>
    </row>
    <row r="37" spans="1:3" x14ac:dyDescent="0.4">
      <c r="A37" s="4" t="s">
        <v>48</v>
      </c>
      <c r="B37" s="11">
        <f>B18+0.008+0.02*B36</f>
        <v>3.7718000000000002E-2</v>
      </c>
      <c r="C37" s="8" t="s">
        <v>49</v>
      </c>
    </row>
    <row r="38" spans="1:3" x14ac:dyDescent="0.4">
      <c r="A38" s="4" t="s">
        <v>50</v>
      </c>
      <c r="B38" s="11">
        <f>B37*(1-B22)</f>
        <v>2.6402599999999998E-2</v>
      </c>
    </row>
    <row r="39" spans="1:3" x14ac:dyDescent="0.4">
      <c r="A39" s="4" t="s">
        <v>51</v>
      </c>
      <c r="B39" s="7">
        <v>2.5000000000000001E-2</v>
      </c>
      <c r="C39" s="8" t="s">
        <v>52</v>
      </c>
    </row>
  </sheetData>
  <pageMargins left="0.75" right="0.75" top="1" bottom="1" header="0.5" footer="0.5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122"/>
  <sheetViews>
    <sheetView workbookViewId="0"/>
  </sheetViews>
  <sheetFormatPr baseColWidth="10" defaultColWidth="9.23046875" defaultRowHeight="14.6" x14ac:dyDescent="0.4"/>
  <cols>
    <col min="1" max="1" width="30" customWidth="1"/>
    <col min="2" max="2" width="4" customWidth="1"/>
    <col min="3" max="11" width="14" customWidth="1"/>
  </cols>
  <sheetData>
    <row r="1" spans="1:11" ht="18.45" customHeight="1" x14ac:dyDescent="0.5">
      <c r="A1" s="1" t="s">
        <v>53</v>
      </c>
    </row>
    <row r="2" spans="1:11" x14ac:dyDescent="0.4">
      <c r="A2" s="2" t="s">
        <v>54</v>
      </c>
    </row>
    <row r="3" spans="1:11" x14ac:dyDescent="0.4">
      <c r="C3" s="13" t="s">
        <v>55</v>
      </c>
      <c r="D3" s="13" t="s">
        <v>56</v>
      </c>
      <c r="E3" s="13" t="s">
        <v>57</v>
      </c>
      <c r="F3" s="13" t="s">
        <v>58</v>
      </c>
      <c r="G3" s="13" t="s">
        <v>59</v>
      </c>
      <c r="H3" s="13" t="s">
        <v>60</v>
      </c>
      <c r="I3" s="13" t="s">
        <v>61</v>
      </c>
      <c r="J3" s="13" t="s">
        <v>62</v>
      </c>
      <c r="K3" s="13" t="s">
        <v>63</v>
      </c>
    </row>
    <row r="4" spans="1:11" x14ac:dyDescent="0.4">
      <c r="A4" s="4" t="s">
        <v>64</v>
      </c>
      <c r="C4" s="14" t="s">
        <v>55</v>
      </c>
      <c r="D4" s="14" t="s">
        <v>56</v>
      </c>
      <c r="E4" s="14" t="s">
        <v>57</v>
      </c>
      <c r="F4" s="14"/>
      <c r="G4" s="14"/>
      <c r="H4" s="14"/>
      <c r="I4" s="14"/>
      <c r="J4" s="14"/>
    </row>
    <row r="5" spans="1:11" x14ac:dyDescent="0.4">
      <c r="A5" s="4" t="s">
        <v>65</v>
      </c>
      <c r="C5" s="5">
        <v>442.3</v>
      </c>
      <c r="D5" s="5">
        <v>130.9</v>
      </c>
      <c r="E5" s="5">
        <v>257.7</v>
      </c>
      <c r="F5" s="5"/>
      <c r="G5" s="5"/>
      <c r="H5" s="5"/>
      <c r="I5" s="5"/>
      <c r="J5" s="5"/>
    </row>
    <row r="6" spans="1:11" x14ac:dyDescent="0.4">
      <c r="A6" s="4" t="s">
        <v>66</v>
      </c>
      <c r="C6" s="56">
        <v>0.01</v>
      </c>
      <c r="D6" s="56">
        <v>-0.03</v>
      </c>
      <c r="E6" s="7">
        <v>-0.25</v>
      </c>
      <c r="F6" s="7"/>
      <c r="G6" s="7"/>
      <c r="H6" s="7"/>
      <c r="I6" s="7"/>
      <c r="J6" s="7"/>
    </row>
    <row r="7" spans="1:11" x14ac:dyDescent="0.4">
      <c r="A7" s="4" t="s">
        <v>67</v>
      </c>
      <c r="C7" s="56">
        <v>9.5000000000000001E-2</v>
      </c>
      <c r="D7" s="56">
        <v>0.16</v>
      </c>
      <c r="E7" s="7">
        <v>0.12</v>
      </c>
      <c r="F7" s="7"/>
      <c r="G7" s="7"/>
      <c r="H7" s="7"/>
      <c r="I7" s="7"/>
      <c r="J7" s="7"/>
    </row>
    <row r="8" spans="1:11" x14ac:dyDescent="0.4">
      <c r="A8" s="4" t="s">
        <v>68</v>
      </c>
      <c r="C8" s="15">
        <v>9.7000000000000003E-2</v>
      </c>
      <c r="D8" s="15">
        <v>0.14499999999999999</v>
      </c>
      <c r="E8" s="15">
        <v>0.126</v>
      </c>
      <c r="F8" s="15"/>
      <c r="G8" s="15"/>
      <c r="H8" s="15"/>
      <c r="I8" s="15"/>
      <c r="J8" s="15"/>
    </row>
    <row r="9" spans="1:11" x14ac:dyDescent="0.4">
      <c r="A9" s="4" t="s">
        <v>69</v>
      </c>
      <c r="C9" s="56">
        <v>0.12</v>
      </c>
      <c r="D9" s="7">
        <v>0.18</v>
      </c>
      <c r="E9" s="7">
        <v>0.12</v>
      </c>
      <c r="F9" s="7"/>
      <c r="G9" s="7"/>
      <c r="H9" s="7"/>
      <c r="I9" s="7"/>
      <c r="J9" s="7"/>
    </row>
    <row r="10" spans="1:11" x14ac:dyDescent="0.4">
      <c r="A10" s="4" t="s">
        <v>70</v>
      </c>
      <c r="C10" s="7">
        <v>9.8000000000000004E-2</v>
      </c>
      <c r="D10" s="7">
        <v>8.9999999999999993E-3</v>
      </c>
      <c r="E10" s="7">
        <v>0.03</v>
      </c>
      <c r="F10" s="7"/>
      <c r="G10" s="7"/>
      <c r="H10" s="7"/>
      <c r="I10" s="7"/>
      <c r="J10" s="7"/>
    </row>
    <row r="11" spans="1:11" x14ac:dyDescent="0.4">
      <c r="A11" s="4" t="s">
        <v>71</v>
      </c>
      <c r="C11" s="7">
        <v>7.4999999999999997E-2</v>
      </c>
      <c r="D11" s="7">
        <v>1.4E-2</v>
      </c>
      <c r="E11" s="7">
        <v>3.5000000000000003E-2</v>
      </c>
      <c r="F11" s="7"/>
      <c r="G11" s="7"/>
      <c r="H11" s="7"/>
      <c r="I11" s="7"/>
      <c r="J11" s="7"/>
    </row>
    <row r="12" spans="1:11" x14ac:dyDescent="0.4">
      <c r="A12" s="4" t="s">
        <v>72</v>
      </c>
      <c r="C12" s="7">
        <v>2.3E-2</v>
      </c>
      <c r="D12" s="7">
        <v>0</v>
      </c>
      <c r="E12" s="7">
        <v>0</v>
      </c>
      <c r="F12" s="7"/>
      <c r="G12" s="7"/>
      <c r="H12" s="7"/>
      <c r="I12" s="7"/>
      <c r="J12" s="7"/>
    </row>
    <row r="13" spans="1:11" x14ac:dyDescent="0.4">
      <c r="A13" s="4" t="s">
        <v>73</v>
      </c>
      <c r="C13" s="56">
        <v>0.02</v>
      </c>
      <c r="D13" s="7">
        <v>0.01</v>
      </c>
      <c r="E13" s="7">
        <v>0.02</v>
      </c>
      <c r="F13" s="7"/>
      <c r="G13" s="7"/>
      <c r="H13" s="7"/>
      <c r="I13" s="7"/>
      <c r="J13" s="7"/>
    </row>
    <row r="14" spans="1:11" x14ac:dyDescent="0.4">
      <c r="A14" s="4" t="s">
        <v>74</v>
      </c>
      <c r="C14" s="9">
        <v>1.0149999999999999</v>
      </c>
      <c r="D14" s="9">
        <v>1.06575</v>
      </c>
      <c r="E14" s="9">
        <v>1.0149999999999999</v>
      </c>
      <c r="F14" s="9"/>
      <c r="G14" s="9"/>
      <c r="H14" s="9"/>
      <c r="I14" s="9"/>
      <c r="J14" s="9"/>
    </row>
    <row r="15" spans="1:11" x14ac:dyDescent="0.4">
      <c r="A15" s="4" t="s">
        <v>75</v>
      </c>
      <c r="C15" s="7">
        <v>0</v>
      </c>
      <c r="D15" s="7">
        <v>0</v>
      </c>
      <c r="E15" s="7">
        <v>0</v>
      </c>
      <c r="F15" s="7"/>
      <c r="G15" s="7"/>
      <c r="H15" s="7"/>
      <c r="I15" s="7"/>
      <c r="J15" s="7"/>
    </row>
    <row r="16" spans="1:11" x14ac:dyDescent="0.4">
      <c r="A16" s="4" t="s">
        <v>76</v>
      </c>
      <c r="C16" s="11">
        <f>MAX((MAX(Inputs!B18+((1-0.33)*C14*(1+(1-Inputs!B22)*Inputs!B21)+0.33)*Inputs!B19+IF(ISBLANK(C17),Inputs!B24,C17)+Inputs!B25+Inputs!B39,MIN(Inputs!B27,0.08)+0.025))*Inputs!B29+Inputs!B28*Inputs!B30,C15)</f>
        <v>9.9308574608679395E-2</v>
      </c>
      <c r="D16" s="11">
        <f>MAX((MAX(Inputs!B18+((1-0.33)*D14*(1+(1-Inputs!B22)*Inputs!B21)+0.33)*Inputs!B19+IF(ISBLANK(D17),Inputs!B24,D17)+Inputs!B25+Inputs!B39,MIN(Inputs!B27,0.08)+0.025))*Inputs!B29+Inputs!B28*Inputs!B30,D15)</f>
        <v>0.10105245599692068</v>
      </c>
      <c r="E16" s="11">
        <f>MAX((MAX(Inputs!B18+((1-0.33)*E14*(1+(1-Inputs!B22)*Inputs!B21)+0.33)*Inputs!B19+IF(ISBLANK(E17),Inputs!B24,E17)+Inputs!B25+Inputs!B39,MIN(Inputs!B27,0.08)+0.025))*Inputs!B29+Inputs!B28*Inputs!B30,E15)</f>
        <v>9.9308574608679395E-2</v>
      </c>
      <c r="F16" s="11">
        <f>MAX((MAX(Inputs!B18+((1-0.33)*F14*(1+(1-Inputs!B22)*Inputs!B21)+0.33)*Inputs!B19+IF(ISBLANK(F17),Inputs!B24,F17)+Inputs!B25+Inputs!B39,MIN(Inputs!B27,0.08)+0.025))*Inputs!B29+Inputs!B28*Inputs!B30,F15)</f>
        <v>6.7873421926910302E-2</v>
      </c>
      <c r="G16" s="11">
        <f>MAX((MAX(Inputs!B18+((1-0.33)*G14*(1+(1-Inputs!B22)*Inputs!B21)+0.33)*Inputs!B19+IF(ISBLANK(G17),Inputs!B24,G17)+Inputs!B25+Inputs!B39,MIN(Inputs!B27,0.08)+0.025))*Inputs!B29+Inputs!B28*Inputs!B30,G15)</f>
        <v>6.7873421926910302E-2</v>
      </c>
      <c r="H16" s="11">
        <f>MAX((MAX(Inputs!B18+((1-0.33)*H14*(1+(1-Inputs!B22)*Inputs!B21)+0.33)*Inputs!B19+IF(ISBLANK(H17),Inputs!B24,H17)+Inputs!B25+Inputs!B39,MIN(Inputs!B27,0.08)+0.025))*Inputs!B29+Inputs!B28*Inputs!B30,H15)</f>
        <v>6.7873421926910302E-2</v>
      </c>
      <c r="I16" s="11">
        <f>MAX((MAX(Inputs!B18+((1-0.33)*I14*(1+(1-Inputs!B22)*Inputs!B21)+0.33)*Inputs!B19+IF(ISBLANK(I17),Inputs!B24,I17)+Inputs!B25+Inputs!B39,MIN(Inputs!B27,0.08)+0.025))*Inputs!B29+Inputs!B28*Inputs!B30,I15)</f>
        <v>6.7873421926910302E-2</v>
      </c>
      <c r="J16" s="11">
        <f>MAX((MAX(Inputs!B18+((1-0.33)*J14*(1+(1-Inputs!B22)*Inputs!B21)+0.33)*Inputs!B19+IF(ISBLANK(J17),Inputs!B24,J17)+Inputs!B25+Inputs!B39,MIN(Inputs!B27,0.08)+0.025))*Inputs!B29+Inputs!B28*Inputs!B30,J15)</f>
        <v>6.7873421926910302E-2</v>
      </c>
    </row>
    <row r="17" spans="1:10" x14ac:dyDescent="0.4">
      <c r="A17" s="16" t="s">
        <v>77</v>
      </c>
      <c r="C17" s="7"/>
      <c r="D17" s="7"/>
      <c r="E17" s="7"/>
      <c r="F17" s="7"/>
      <c r="G17" s="7"/>
      <c r="H17" s="7"/>
      <c r="I17" s="7"/>
      <c r="J17" s="7"/>
    </row>
    <row r="18" spans="1:10" ht="40" customHeight="1" x14ac:dyDescent="0.4">
      <c r="A18" s="17" t="s">
        <v>78</v>
      </c>
      <c r="C18" s="18" t="s">
        <v>79</v>
      </c>
      <c r="D18" s="18" t="s">
        <v>80</v>
      </c>
      <c r="E18" s="18" t="s">
        <v>81</v>
      </c>
      <c r="F18" s="18"/>
      <c r="G18" s="18"/>
      <c r="H18" s="18"/>
      <c r="I18" s="18"/>
      <c r="J18" s="18"/>
    </row>
    <row r="19" spans="1:10" ht="40" customHeight="1" x14ac:dyDescent="0.4">
      <c r="A19" s="17" t="s">
        <v>82</v>
      </c>
      <c r="C19" s="18" t="s">
        <v>83</v>
      </c>
      <c r="D19" s="18" t="s">
        <v>84</v>
      </c>
      <c r="E19" s="18" t="s">
        <v>85</v>
      </c>
      <c r="F19" s="18"/>
      <c r="G19" s="18"/>
      <c r="H19" s="18"/>
      <c r="I19" s="18"/>
      <c r="J19" s="18"/>
    </row>
    <row r="20" spans="1:10" ht="28" customHeight="1" x14ac:dyDescent="0.4">
      <c r="A20" s="17" t="s">
        <v>86</v>
      </c>
      <c r="C20" s="18" t="s">
        <v>87</v>
      </c>
      <c r="D20" s="18" t="s">
        <v>88</v>
      </c>
      <c r="E20" s="18" t="s">
        <v>89</v>
      </c>
      <c r="F20" s="18"/>
      <c r="G20" s="18"/>
      <c r="H20" s="18"/>
      <c r="I20" s="18"/>
      <c r="J20" s="18"/>
    </row>
    <row r="21" spans="1:10" x14ac:dyDescent="0.4">
      <c r="A21" s="4" t="s">
        <v>90</v>
      </c>
      <c r="C21" s="6">
        <f t="shared" ref="C21:J21" si="0">C5*(1+C6)^1</f>
        <v>446.72300000000001</v>
      </c>
      <c r="D21" s="6">
        <f t="shared" si="0"/>
        <v>126.973</v>
      </c>
      <c r="E21" s="6">
        <f t="shared" si="0"/>
        <v>193.27499999999998</v>
      </c>
      <c r="F21" s="6">
        <f t="shared" si="0"/>
        <v>0</v>
      </c>
      <c r="G21" s="6">
        <f t="shared" si="0"/>
        <v>0</v>
      </c>
      <c r="H21" s="6">
        <f t="shared" si="0"/>
        <v>0</v>
      </c>
      <c r="I21" s="6">
        <f t="shared" si="0"/>
        <v>0</v>
      </c>
      <c r="J21" s="6">
        <f t="shared" si="0"/>
        <v>0</v>
      </c>
    </row>
    <row r="22" spans="1:10" x14ac:dyDescent="0.4">
      <c r="A22" s="4" t="s">
        <v>91</v>
      </c>
      <c r="C22" s="6">
        <f t="shared" ref="C22:J22" si="1">C5*(1+C6)^2</f>
        <v>451.19023000000004</v>
      </c>
      <c r="D22" s="6">
        <f t="shared" si="1"/>
        <v>123.16381</v>
      </c>
      <c r="E22" s="6">
        <f t="shared" si="1"/>
        <v>144.95624999999998</v>
      </c>
      <c r="F22" s="6">
        <f t="shared" si="1"/>
        <v>0</v>
      </c>
      <c r="G22" s="6">
        <f t="shared" si="1"/>
        <v>0</v>
      </c>
      <c r="H22" s="6">
        <f t="shared" si="1"/>
        <v>0</v>
      </c>
      <c r="I22" s="6">
        <f t="shared" si="1"/>
        <v>0</v>
      </c>
      <c r="J22" s="6">
        <f t="shared" si="1"/>
        <v>0</v>
      </c>
    </row>
    <row r="23" spans="1:10" x14ac:dyDescent="0.4">
      <c r="A23" s="4" t="s">
        <v>92</v>
      </c>
      <c r="C23" s="6">
        <f t="shared" ref="C23:J23" si="2">C5*(1+C6)^3</f>
        <v>455.70213229999996</v>
      </c>
      <c r="D23" s="6">
        <f t="shared" si="2"/>
        <v>119.4688957</v>
      </c>
      <c r="E23" s="6">
        <f t="shared" si="2"/>
        <v>108.71718749999999</v>
      </c>
      <c r="F23" s="6">
        <f t="shared" si="2"/>
        <v>0</v>
      </c>
      <c r="G23" s="6">
        <f t="shared" si="2"/>
        <v>0</v>
      </c>
      <c r="H23" s="6">
        <f t="shared" si="2"/>
        <v>0</v>
      </c>
      <c r="I23" s="6">
        <f t="shared" si="2"/>
        <v>0</v>
      </c>
      <c r="J23" s="6">
        <f t="shared" si="2"/>
        <v>0</v>
      </c>
    </row>
    <row r="24" spans="1:10" x14ac:dyDescent="0.4">
      <c r="A24" s="4" t="s">
        <v>93</v>
      </c>
      <c r="C24" s="6">
        <f t="shared" ref="C24:J24" si="3">C5*(1+C6)^4</f>
        <v>460.25915362300003</v>
      </c>
      <c r="D24" s="6">
        <f t="shared" si="3"/>
        <v>115.884828829</v>
      </c>
      <c r="E24" s="6">
        <f t="shared" si="3"/>
        <v>81.537890625000003</v>
      </c>
      <c r="F24" s="6">
        <f t="shared" si="3"/>
        <v>0</v>
      </c>
      <c r="G24" s="6">
        <f t="shared" si="3"/>
        <v>0</v>
      </c>
      <c r="H24" s="6">
        <f t="shared" si="3"/>
        <v>0</v>
      </c>
      <c r="I24" s="6">
        <f t="shared" si="3"/>
        <v>0</v>
      </c>
      <c r="J24" s="6">
        <f t="shared" si="3"/>
        <v>0</v>
      </c>
    </row>
    <row r="25" spans="1:10" x14ac:dyDescent="0.4">
      <c r="A25" s="4" t="s">
        <v>94</v>
      </c>
      <c r="C25" s="6">
        <f t="shared" ref="C25:J25" si="4">C5*(1+C6)^5</f>
        <v>464.86174515923</v>
      </c>
      <c r="D25" s="6">
        <f t="shared" si="4"/>
        <v>112.40828396412999</v>
      </c>
      <c r="E25" s="6">
        <f t="shared" si="4"/>
        <v>61.153417968749999</v>
      </c>
      <c r="F25" s="6">
        <f t="shared" si="4"/>
        <v>0</v>
      </c>
      <c r="G25" s="6">
        <f t="shared" si="4"/>
        <v>0</v>
      </c>
      <c r="H25" s="6">
        <f t="shared" si="4"/>
        <v>0</v>
      </c>
      <c r="I25" s="6">
        <f t="shared" si="4"/>
        <v>0</v>
      </c>
      <c r="J25" s="6">
        <f t="shared" si="4"/>
        <v>0</v>
      </c>
    </row>
    <row r="26" spans="1:10" x14ac:dyDescent="0.4">
      <c r="A26" s="4" t="s">
        <v>95</v>
      </c>
      <c r="C26" s="7">
        <v>5.0000000000000001E-3</v>
      </c>
      <c r="D26" s="7"/>
      <c r="E26" s="7">
        <v>0.02</v>
      </c>
      <c r="F26" s="7"/>
      <c r="G26" s="7"/>
      <c r="H26" s="7"/>
      <c r="I26" s="7"/>
      <c r="J26" s="7"/>
    </row>
    <row r="27" spans="1:10" x14ac:dyDescent="0.4">
      <c r="A27" s="4" t="s">
        <v>96</v>
      </c>
      <c r="C27" s="11">
        <f t="shared" ref="C27:J27" si="5">IF(ISBLANK(C9),C7,C7+(C9-C7)*(0)/4)</f>
        <v>9.5000000000000001E-2</v>
      </c>
      <c r="D27" s="11">
        <f t="shared" si="5"/>
        <v>0.16</v>
      </c>
      <c r="E27" s="11">
        <f t="shared" si="5"/>
        <v>0.12</v>
      </c>
      <c r="F27" s="11">
        <f t="shared" si="5"/>
        <v>0</v>
      </c>
      <c r="G27" s="11">
        <f t="shared" si="5"/>
        <v>0</v>
      </c>
      <c r="H27" s="11">
        <f t="shared" si="5"/>
        <v>0</v>
      </c>
      <c r="I27" s="11">
        <f t="shared" si="5"/>
        <v>0</v>
      </c>
      <c r="J27" s="11">
        <f t="shared" si="5"/>
        <v>0</v>
      </c>
    </row>
    <row r="28" spans="1:10" x14ac:dyDescent="0.4">
      <c r="A28" s="4" t="s">
        <v>97</v>
      </c>
      <c r="C28" s="11">
        <f t="shared" ref="C28:J28" si="6">IF(ISBLANK(C9),C7,C7+(C9-C7)*(1)/4)</f>
        <v>0.10125000000000001</v>
      </c>
      <c r="D28" s="11">
        <f t="shared" si="6"/>
        <v>0.16500000000000001</v>
      </c>
      <c r="E28" s="11">
        <f t="shared" si="6"/>
        <v>0.12</v>
      </c>
      <c r="F28" s="11">
        <f t="shared" si="6"/>
        <v>0</v>
      </c>
      <c r="G28" s="11">
        <f t="shared" si="6"/>
        <v>0</v>
      </c>
      <c r="H28" s="11">
        <f t="shared" si="6"/>
        <v>0</v>
      </c>
      <c r="I28" s="11">
        <f t="shared" si="6"/>
        <v>0</v>
      </c>
      <c r="J28" s="11">
        <f t="shared" si="6"/>
        <v>0</v>
      </c>
    </row>
    <row r="29" spans="1:10" x14ac:dyDescent="0.4">
      <c r="A29" s="4" t="s">
        <v>98</v>
      </c>
      <c r="C29" s="11">
        <f t="shared" ref="C29:J29" si="7">IF(ISBLANK(C9),C7,C7+(C9-C7)*(2)/4)</f>
        <v>0.1075</v>
      </c>
      <c r="D29" s="11">
        <f t="shared" si="7"/>
        <v>0.16999999999999998</v>
      </c>
      <c r="E29" s="11">
        <f t="shared" si="7"/>
        <v>0.12</v>
      </c>
      <c r="F29" s="11">
        <f t="shared" si="7"/>
        <v>0</v>
      </c>
      <c r="G29" s="11">
        <f t="shared" si="7"/>
        <v>0</v>
      </c>
      <c r="H29" s="11">
        <f t="shared" si="7"/>
        <v>0</v>
      </c>
      <c r="I29" s="11">
        <f t="shared" si="7"/>
        <v>0</v>
      </c>
      <c r="J29" s="11">
        <f t="shared" si="7"/>
        <v>0</v>
      </c>
    </row>
    <row r="30" spans="1:10" x14ac:dyDescent="0.4">
      <c r="A30" s="4" t="s">
        <v>99</v>
      </c>
      <c r="C30" s="11">
        <f t="shared" ref="C30:J30" si="8">IF(ISBLANK(C9),C7,C7+(C9-C7)*(3)/4)</f>
        <v>0.11374999999999999</v>
      </c>
      <c r="D30" s="11">
        <f t="shared" si="8"/>
        <v>0.17499999999999999</v>
      </c>
      <c r="E30" s="11">
        <f t="shared" si="8"/>
        <v>0.12</v>
      </c>
      <c r="F30" s="11">
        <f t="shared" si="8"/>
        <v>0</v>
      </c>
      <c r="G30" s="11">
        <f t="shared" si="8"/>
        <v>0</v>
      </c>
      <c r="H30" s="11">
        <f t="shared" si="8"/>
        <v>0</v>
      </c>
      <c r="I30" s="11">
        <f t="shared" si="8"/>
        <v>0</v>
      </c>
      <c r="J30" s="11">
        <f t="shared" si="8"/>
        <v>0</v>
      </c>
    </row>
    <row r="31" spans="1:10" x14ac:dyDescent="0.4">
      <c r="A31" s="4" t="s">
        <v>100</v>
      </c>
      <c r="C31" s="11">
        <f t="shared" ref="C31:J31" si="9">IF(ISBLANK(C9),C7,C7+(C9-C7)*(4)/4)</f>
        <v>0.12</v>
      </c>
      <c r="D31" s="11">
        <f t="shared" si="9"/>
        <v>0.18</v>
      </c>
      <c r="E31" s="11">
        <f t="shared" si="9"/>
        <v>0.12</v>
      </c>
      <c r="F31" s="11">
        <f t="shared" si="9"/>
        <v>0</v>
      </c>
      <c r="G31" s="11">
        <f t="shared" si="9"/>
        <v>0</v>
      </c>
      <c r="H31" s="11">
        <f t="shared" si="9"/>
        <v>0</v>
      </c>
      <c r="I31" s="11">
        <f t="shared" si="9"/>
        <v>0</v>
      </c>
      <c r="J31" s="11">
        <f t="shared" si="9"/>
        <v>0</v>
      </c>
    </row>
    <row r="33" spans="1:10" x14ac:dyDescent="0.4">
      <c r="A33" s="4" t="s">
        <v>101</v>
      </c>
      <c r="C33" s="6">
        <f t="shared" ref="C33:J37" si="10">C21*C27</f>
        <v>42.438685</v>
      </c>
      <c r="D33" s="6">
        <f t="shared" si="10"/>
        <v>20.31568</v>
      </c>
      <c r="E33" s="6">
        <f t="shared" si="10"/>
        <v>23.192999999999998</v>
      </c>
      <c r="F33" s="6">
        <f t="shared" si="10"/>
        <v>0</v>
      </c>
      <c r="G33" s="6">
        <f t="shared" si="10"/>
        <v>0</v>
      </c>
      <c r="H33" s="6">
        <f t="shared" si="10"/>
        <v>0</v>
      </c>
      <c r="I33" s="6">
        <f t="shared" si="10"/>
        <v>0</v>
      </c>
      <c r="J33" s="6">
        <f t="shared" si="10"/>
        <v>0</v>
      </c>
    </row>
    <row r="34" spans="1:10" x14ac:dyDescent="0.4">
      <c r="A34" s="4" t="s">
        <v>102</v>
      </c>
      <c r="C34" s="6">
        <f t="shared" si="10"/>
        <v>45.68301078750001</v>
      </c>
      <c r="D34" s="6">
        <f t="shared" si="10"/>
        <v>20.32202865</v>
      </c>
      <c r="E34" s="6">
        <f t="shared" si="10"/>
        <v>17.394749999999998</v>
      </c>
      <c r="F34" s="6">
        <f t="shared" si="10"/>
        <v>0</v>
      </c>
      <c r="G34" s="6">
        <f t="shared" si="10"/>
        <v>0</v>
      </c>
      <c r="H34" s="6">
        <f t="shared" si="10"/>
        <v>0</v>
      </c>
      <c r="I34" s="6">
        <f t="shared" si="10"/>
        <v>0</v>
      </c>
      <c r="J34" s="6">
        <f t="shared" si="10"/>
        <v>0</v>
      </c>
    </row>
    <row r="35" spans="1:10" x14ac:dyDescent="0.4">
      <c r="A35" s="4" t="s">
        <v>103</v>
      </c>
      <c r="C35" s="6">
        <f t="shared" si="10"/>
        <v>48.987979222249997</v>
      </c>
      <c r="D35" s="6">
        <f t="shared" si="10"/>
        <v>20.309712268999998</v>
      </c>
      <c r="E35" s="6">
        <f t="shared" si="10"/>
        <v>13.0460625</v>
      </c>
      <c r="F35" s="6">
        <f t="shared" si="10"/>
        <v>0</v>
      </c>
      <c r="G35" s="6">
        <f t="shared" si="10"/>
        <v>0</v>
      </c>
      <c r="H35" s="6">
        <f t="shared" si="10"/>
        <v>0</v>
      </c>
      <c r="I35" s="6">
        <f t="shared" si="10"/>
        <v>0</v>
      </c>
      <c r="J35" s="6">
        <f t="shared" si="10"/>
        <v>0</v>
      </c>
    </row>
    <row r="36" spans="1:10" x14ac:dyDescent="0.4">
      <c r="A36" s="4" t="s">
        <v>104</v>
      </c>
      <c r="C36" s="6">
        <f t="shared" si="10"/>
        <v>52.35447872461625</v>
      </c>
      <c r="D36" s="6">
        <f t="shared" si="10"/>
        <v>20.279845045075</v>
      </c>
      <c r="E36" s="6">
        <f t="shared" si="10"/>
        <v>9.7845468750000002</v>
      </c>
      <c r="F36" s="6">
        <f t="shared" si="10"/>
        <v>0</v>
      </c>
      <c r="G36" s="6">
        <f t="shared" si="10"/>
        <v>0</v>
      </c>
      <c r="H36" s="6">
        <f t="shared" si="10"/>
        <v>0</v>
      </c>
      <c r="I36" s="6">
        <f t="shared" si="10"/>
        <v>0</v>
      </c>
      <c r="J36" s="6">
        <f t="shared" si="10"/>
        <v>0</v>
      </c>
    </row>
    <row r="37" spans="1:10" x14ac:dyDescent="0.4">
      <c r="A37" s="4" t="s">
        <v>105</v>
      </c>
      <c r="C37" s="6">
        <f t="shared" si="10"/>
        <v>55.783409419107599</v>
      </c>
      <c r="D37" s="6">
        <f t="shared" si="10"/>
        <v>20.233491113543398</v>
      </c>
      <c r="E37" s="6">
        <f t="shared" si="10"/>
        <v>7.3384101562499993</v>
      </c>
      <c r="F37" s="6">
        <f t="shared" si="10"/>
        <v>0</v>
      </c>
      <c r="G37" s="6">
        <f t="shared" si="10"/>
        <v>0</v>
      </c>
      <c r="H37" s="6">
        <f t="shared" si="10"/>
        <v>0</v>
      </c>
      <c r="I37" s="6">
        <f t="shared" si="10"/>
        <v>0</v>
      </c>
      <c r="J37" s="6">
        <f t="shared" si="10"/>
        <v>0</v>
      </c>
    </row>
    <row r="39" spans="1:10" x14ac:dyDescent="0.4">
      <c r="A39" s="4" t="s">
        <v>106</v>
      </c>
      <c r="C39" s="6">
        <f>C33*(1-Inputs!B22)</f>
        <v>29.707079499999999</v>
      </c>
      <c r="D39" s="6">
        <f>D33*(1-Inputs!B22)</f>
        <v>14.220975999999999</v>
      </c>
      <c r="E39" s="6">
        <f>E33*(1-Inputs!B22)</f>
        <v>16.235099999999999</v>
      </c>
      <c r="F39" s="6">
        <f>F33*(1-Inputs!B22)</f>
        <v>0</v>
      </c>
      <c r="G39" s="6">
        <f>G33*(1-Inputs!B22)</f>
        <v>0</v>
      </c>
      <c r="H39" s="6">
        <f>H33*(1-Inputs!B22)</f>
        <v>0</v>
      </c>
      <c r="I39" s="6">
        <f>I33*(1-Inputs!B22)</f>
        <v>0</v>
      </c>
      <c r="J39" s="6">
        <f>J33*(1-Inputs!B22)</f>
        <v>0</v>
      </c>
    </row>
    <row r="40" spans="1:10" x14ac:dyDescent="0.4">
      <c r="A40" s="4" t="s">
        <v>107</v>
      </c>
      <c r="C40" s="6">
        <f>C34*(1-Inputs!B22)</f>
        <v>31.978107551250005</v>
      </c>
      <c r="D40" s="6">
        <f>D34*(1-Inputs!B22)</f>
        <v>14.225420054999999</v>
      </c>
      <c r="E40" s="6">
        <f>E34*(1-Inputs!B22)</f>
        <v>12.176324999999999</v>
      </c>
      <c r="F40" s="6">
        <f>F34*(1-Inputs!B22)</f>
        <v>0</v>
      </c>
      <c r="G40" s="6">
        <f>G34*(1-Inputs!B22)</f>
        <v>0</v>
      </c>
      <c r="H40" s="6">
        <f>H34*(1-Inputs!B22)</f>
        <v>0</v>
      </c>
      <c r="I40" s="6">
        <f>I34*(1-Inputs!B22)</f>
        <v>0</v>
      </c>
      <c r="J40" s="6">
        <f>J34*(1-Inputs!B22)</f>
        <v>0</v>
      </c>
    </row>
    <row r="41" spans="1:10" x14ac:dyDescent="0.4">
      <c r="A41" s="4" t="s">
        <v>108</v>
      </c>
      <c r="C41" s="6">
        <f>C35*(1-Inputs!B22)</f>
        <v>34.291585455574996</v>
      </c>
      <c r="D41" s="6">
        <f>D35*(1-Inputs!B22)</f>
        <v>14.216798588299998</v>
      </c>
      <c r="E41" s="6">
        <f>E35*(1-Inputs!B22)</f>
        <v>9.1322437499999989</v>
      </c>
      <c r="F41" s="6">
        <f>F35*(1-Inputs!B22)</f>
        <v>0</v>
      </c>
      <c r="G41" s="6">
        <f>G35*(1-Inputs!B22)</f>
        <v>0</v>
      </c>
      <c r="H41" s="6">
        <f>H35*(1-Inputs!B22)</f>
        <v>0</v>
      </c>
      <c r="I41" s="6">
        <f>I35*(1-Inputs!B22)</f>
        <v>0</v>
      </c>
      <c r="J41" s="6">
        <f>J35*(1-Inputs!B22)</f>
        <v>0</v>
      </c>
    </row>
    <row r="42" spans="1:10" x14ac:dyDescent="0.4">
      <c r="A42" s="4" t="s">
        <v>109</v>
      </c>
      <c r="C42" s="6">
        <f>C36*(1-Inputs!B22)</f>
        <v>36.648135107231376</v>
      </c>
      <c r="D42" s="6">
        <f>D36*(1-Inputs!B22)</f>
        <v>14.195891531552499</v>
      </c>
      <c r="E42" s="6">
        <f>E36*(1-Inputs!B22)</f>
        <v>6.8491828124999996</v>
      </c>
      <c r="F42" s="6">
        <f>F36*(1-Inputs!B22)</f>
        <v>0</v>
      </c>
      <c r="G42" s="6">
        <f>G36*(1-Inputs!B22)</f>
        <v>0</v>
      </c>
      <c r="H42" s="6">
        <f>H36*(1-Inputs!B22)</f>
        <v>0</v>
      </c>
      <c r="I42" s="6">
        <f>I36*(1-Inputs!B22)</f>
        <v>0</v>
      </c>
      <c r="J42" s="6">
        <f>J36*(1-Inputs!B22)</f>
        <v>0</v>
      </c>
    </row>
    <row r="43" spans="1:10" x14ac:dyDescent="0.4">
      <c r="A43" s="4" t="s">
        <v>110</v>
      </c>
      <c r="C43" s="6">
        <f>C37*(1-Inputs!B22)</f>
        <v>39.048386593375319</v>
      </c>
      <c r="D43" s="6">
        <f>D37*(1-Inputs!B22)</f>
        <v>14.163443779480378</v>
      </c>
      <c r="E43" s="6">
        <f>E37*(1-Inputs!B22)</f>
        <v>5.1368871093749995</v>
      </c>
      <c r="F43" s="6">
        <f>F37*(1-Inputs!B22)</f>
        <v>0</v>
      </c>
      <c r="G43" s="6">
        <f>G37*(1-Inputs!B22)</f>
        <v>0</v>
      </c>
      <c r="H43" s="6">
        <f>H37*(1-Inputs!B22)</f>
        <v>0</v>
      </c>
      <c r="I43" s="6">
        <f>I37*(1-Inputs!B22)</f>
        <v>0</v>
      </c>
      <c r="J43" s="6">
        <f>J37*(1-Inputs!B22)</f>
        <v>0</v>
      </c>
    </row>
    <row r="45" spans="1:10" x14ac:dyDescent="0.4">
      <c r="A45" s="4" t="s">
        <v>111</v>
      </c>
      <c r="C45" s="6">
        <f t="shared" ref="C45:J45" si="11">C21*IF(ISBLANK(C26),C12,C12+(C26-C12)*(0)/4)</f>
        <v>10.274629000000001</v>
      </c>
      <c r="D45" s="6">
        <f t="shared" si="11"/>
        <v>0</v>
      </c>
      <c r="E45" s="6">
        <f t="shared" si="11"/>
        <v>0</v>
      </c>
      <c r="F45" s="6">
        <f t="shared" si="11"/>
        <v>0</v>
      </c>
      <c r="G45" s="6">
        <f t="shared" si="11"/>
        <v>0</v>
      </c>
      <c r="H45" s="6">
        <f t="shared" si="11"/>
        <v>0</v>
      </c>
      <c r="I45" s="6">
        <f t="shared" si="11"/>
        <v>0</v>
      </c>
      <c r="J45" s="6">
        <f t="shared" si="11"/>
        <v>0</v>
      </c>
    </row>
    <row r="46" spans="1:10" x14ac:dyDescent="0.4">
      <c r="A46" s="4" t="s">
        <v>112</v>
      </c>
      <c r="C46" s="6">
        <f t="shared" ref="C46:J46" si="12">C22*IF(ISBLANK(C26),C12,C12+(C26-C12)*(1)/4)</f>
        <v>8.3470192550000011</v>
      </c>
      <c r="D46" s="6">
        <f t="shared" si="12"/>
        <v>0</v>
      </c>
      <c r="E46" s="6">
        <f t="shared" si="12"/>
        <v>0.72478124999999993</v>
      </c>
      <c r="F46" s="6">
        <f t="shared" si="12"/>
        <v>0</v>
      </c>
      <c r="G46" s="6">
        <f t="shared" si="12"/>
        <v>0</v>
      </c>
      <c r="H46" s="6">
        <f t="shared" si="12"/>
        <v>0</v>
      </c>
      <c r="I46" s="6">
        <f t="shared" si="12"/>
        <v>0</v>
      </c>
      <c r="J46" s="6">
        <f t="shared" si="12"/>
        <v>0</v>
      </c>
    </row>
    <row r="47" spans="1:10" x14ac:dyDescent="0.4">
      <c r="A47" s="4" t="s">
        <v>113</v>
      </c>
      <c r="C47" s="6">
        <f t="shared" ref="C47:J47" si="13">C23*IF(ISBLANK(C26),C12,C12+(C26-C12)*(2)/4)</f>
        <v>6.3798298521999994</v>
      </c>
      <c r="D47" s="6">
        <f t="shared" si="13"/>
        <v>0</v>
      </c>
      <c r="E47" s="6">
        <f t="shared" si="13"/>
        <v>1.0871718749999999</v>
      </c>
      <c r="F47" s="6">
        <f t="shared" si="13"/>
        <v>0</v>
      </c>
      <c r="G47" s="6">
        <f t="shared" si="13"/>
        <v>0</v>
      </c>
      <c r="H47" s="6">
        <f t="shared" si="13"/>
        <v>0</v>
      </c>
      <c r="I47" s="6">
        <f t="shared" si="13"/>
        <v>0</v>
      </c>
      <c r="J47" s="6">
        <f t="shared" si="13"/>
        <v>0</v>
      </c>
    </row>
    <row r="48" spans="1:10" x14ac:dyDescent="0.4">
      <c r="A48" s="4" t="s">
        <v>114</v>
      </c>
      <c r="C48" s="6">
        <f t="shared" ref="C48:J48" si="14">C24*IF(ISBLANK(C26),C12,C12+(C26-C12)*(3)/4)</f>
        <v>4.3724619594185006</v>
      </c>
      <c r="D48" s="6">
        <f t="shared" si="14"/>
        <v>0</v>
      </c>
      <c r="E48" s="6">
        <f t="shared" si="14"/>
        <v>1.223068359375</v>
      </c>
      <c r="F48" s="6">
        <f t="shared" si="14"/>
        <v>0</v>
      </c>
      <c r="G48" s="6">
        <f t="shared" si="14"/>
        <v>0</v>
      </c>
      <c r="H48" s="6">
        <f t="shared" si="14"/>
        <v>0</v>
      </c>
      <c r="I48" s="6">
        <f t="shared" si="14"/>
        <v>0</v>
      </c>
      <c r="J48" s="6">
        <f t="shared" si="14"/>
        <v>0</v>
      </c>
    </row>
    <row r="49" spans="1:10" x14ac:dyDescent="0.4">
      <c r="A49" s="4" t="s">
        <v>115</v>
      </c>
      <c r="C49" s="6">
        <f t="shared" ref="C49:J49" si="15">C25*IF(ISBLANK(C26),C12,C12+(C26-C12)*(4)/4)</f>
        <v>2.3243087257961506</v>
      </c>
      <c r="D49" s="6">
        <f t="shared" si="15"/>
        <v>0</v>
      </c>
      <c r="E49" s="6">
        <f t="shared" si="15"/>
        <v>1.223068359375</v>
      </c>
      <c r="F49" s="6">
        <f t="shared" si="15"/>
        <v>0</v>
      </c>
      <c r="G49" s="6">
        <f t="shared" si="15"/>
        <v>0</v>
      </c>
      <c r="H49" s="6">
        <f t="shared" si="15"/>
        <v>0</v>
      </c>
      <c r="I49" s="6">
        <f t="shared" si="15"/>
        <v>0</v>
      </c>
      <c r="J49" s="6">
        <f t="shared" si="15"/>
        <v>0</v>
      </c>
    </row>
    <row r="51" spans="1:10" x14ac:dyDescent="0.4">
      <c r="A51" s="4" t="s">
        <v>116</v>
      </c>
      <c r="C51" s="6">
        <f t="shared" ref="C51:J55" si="16">C39-C45</f>
        <v>19.432450499999998</v>
      </c>
      <c r="D51" s="6">
        <f t="shared" si="16"/>
        <v>14.220975999999999</v>
      </c>
      <c r="E51" s="6">
        <f t="shared" si="16"/>
        <v>16.235099999999999</v>
      </c>
      <c r="F51" s="6">
        <f t="shared" si="16"/>
        <v>0</v>
      </c>
      <c r="G51" s="6">
        <f t="shared" si="16"/>
        <v>0</v>
      </c>
      <c r="H51" s="6">
        <f t="shared" si="16"/>
        <v>0</v>
      </c>
      <c r="I51" s="6">
        <f t="shared" si="16"/>
        <v>0</v>
      </c>
      <c r="J51" s="6">
        <f t="shared" si="16"/>
        <v>0</v>
      </c>
    </row>
    <row r="52" spans="1:10" x14ac:dyDescent="0.4">
      <c r="A52" s="4" t="s">
        <v>117</v>
      </c>
      <c r="C52" s="6">
        <f t="shared" si="16"/>
        <v>23.631088296250006</v>
      </c>
      <c r="D52" s="6">
        <f t="shared" si="16"/>
        <v>14.225420054999999</v>
      </c>
      <c r="E52" s="6">
        <f t="shared" si="16"/>
        <v>11.451543749999999</v>
      </c>
      <c r="F52" s="6">
        <f t="shared" si="16"/>
        <v>0</v>
      </c>
      <c r="G52" s="6">
        <f t="shared" si="16"/>
        <v>0</v>
      </c>
      <c r="H52" s="6">
        <f t="shared" si="16"/>
        <v>0</v>
      </c>
      <c r="I52" s="6">
        <f t="shared" si="16"/>
        <v>0</v>
      </c>
      <c r="J52" s="6">
        <f t="shared" si="16"/>
        <v>0</v>
      </c>
    </row>
    <row r="53" spans="1:10" x14ac:dyDescent="0.4">
      <c r="A53" s="4" t="s">
        <v>118</v>
      </c>
      <c r="C53" s="6">
        <f t="shared" si="16"/>
        <v>27.911755603374996</v>
      </c>
      <c r="D53" s="6">
        <f t="shared" si="16"/>
        <v>14.216798588299998</v>
      </c>
      <c r="E53" s="6">
        <f t="shared" si="16"/>
        <v>8.0450718749999997</v>
      </c>
      <c r="F53" s="6">
        <f t="shared" si="16"/>
        <v>0</v>
      </c>
      <c r="G53" s="6">
        <f t="shared" si="16"/>
        <v>0</v>
      </c>
      <c r="H53" s="6">
        <f t="shared" si="16"/>
        <v>0</v>
      </c>
      <c r="I53" s="6">
        <f t="shared" si="16"/>
        <v>0</v>
      </c>
      <c r="J53" s="6">
        <f t="shared" si="16"/>
        <v>0</v>
      </c>
    </row>
    <row r="54" spans="1:10" x14ac:dyDescent="0.4">
      <c r="A54" s="4" t="s">
        <v>119</v>
      </c>
      <c r="C54" s="6">
        <f t="shared" si="16"/>
        <v>32.275673147812874</v>
      </c>
      <c r="D54" s="6">
        <f t="shared" si="16"/>
        <v>14.195891531552499</v>
      </c>
      <c r="E54" s="6">
        <f t="shared" si="16"/>
        <v>5.626114453125</v>
      </c>
      <c r="F54" s="6">
        <f t="shared" si="16"/>
        <v>0</v>
      </c>
      <c r="G54" s="6">
        <f t="shared" si="16"/>
        <v>0</v>
      </c>
      <c r="H54" s="6">
        <f t="shared" si="16"/>
        <v>0</v>
      </c>
      <c r="I54" s="6">
        <f t="shared" si="16"/>
        <v>0</v>
      </c>
      <c r="J54" s="6">
        <f t="shared" si="16"/>
        <v>0</v>
      </c>
    </row>
    <row r="55" spans="1:10" x14ac:dyDescent="0.4">
      <c r="A55" s="4" t="s">
        <v>120</v>
      </c>
      <c r="C55" s="6">
        <f t="shared" si="16"/>
        <v>36.724077867579169</v>
      </c>
      <c r="D55" s="6">
        <f t="shared" si="16"/>
        <v>14.163443779480378</v>
      </c>
      <c r="E55" s="6">
        <f t="shared" si="16"/>
        <v>3.9138187499999995</v>
      </c>
      <c r="F55" s="6">
        <f t="shared" si="16"/>
        <v>0</v>
      </c>
      <c r="G55" s="6">
        <f t="shared" si="16"/>
        <v>0</v>
      </c>
      <c r="H55" s="6">
        <f t="shared" si="16"/>
        <v>0</v>
      </c>
      <c r="I55" s="6">
        <f t="shared" si="16"/>
        <v>0</v>
      </c>
      <c r="J55" s="6">
        <f t="shared" si="16"/>
        <v>0</v>
      </c>
    </row>
    <row r="57" spans="1:10" x14ac:dyDescent="0.4">
      <c r="A57" s="4" t="s">
        <v>121</v>
      </c>
      <c r="C57" s="6">
        <f t="shared" ref="C57:J57" si="17">C51/((1+C16))</f>
        <v>17.676975281410282</v>
      </c>
      <c r="D57" s="6">
        <f t="shared" si="17"/>
        <v>12.91580244205892</v>
      </c>
      <c r="E57" s="6">
        <f t="shared" si="17"/>
        <v>14.768464810509826</v>
      </c>
      <c r="F57" s="6">
        <f t="shared" si="17"/>
        <v>0</v>
      </c>
      <c r="G57" s="6">
        <f t="shared" si="17"/>
        <v>0</v>
      </c>
      <c r="H57" s="6">
        <f t="shared" si="17"/>
        <v>0</v>
      </c>
      <c r="I57" s="6">
        <f t="shared" si="17"/>
        <v>0</v>
      </c>
      <c r="J57" s="6">
        <f t="shared" si="17"/>
        <v>0</v>
      </c>
    </row>
    <row r="58" spans="1:10" x14ac:dyDescent="0.4">
      <c r="A58" s="4" t="s">
        <v>122</v>
      </c>
      <c r="C58" s="6">
        <f t="shared" ref="C58:J58" si="18">C52/((1+C16)*(1+C16+(C104-C16)*1/5))</f>
        <v>19.567440387219232</v>
      </c>
      <c r="D58" s="6">
        <f t="shared" si="18"/>
        <v>11.745616892811221</v>
      </c>
      <c r="E58" s="6">
        <f t="shared" si="18"/>
        <v>9.482314011975344</v>
      </c>
      <c r="F58" s="6">
        <f t="shared" si="18"/>
        <v>0</v>
      </c>
      <c r="G58" s="6">
        <f t="shared" si="18"/>
        <v>0</v>
      </c>
      <c r="H58" s="6">
        <f t="shared" si="18"/>
        <v>0</v>
      </c>
      <c r="I58" s="6">
        <f t="shared" si="18"/>
        <v>0</v>
      </c>
      <c r="J58" s="6">
        <f t="shared" si="18"/>
        <v>0</v>
      </c>
    </row>
    <row r="59" spans="1:10" x14ac:dyDescent="0.4">
      <c r="A59" s="4" t="s">
        <v>123</v>
      </c>
      <c r="C59" s="6">
        <f t="shared" ref="C59:J59" si="19">C53/((1+C16)*(1+C16+(C104-C16)*1/5)*(1+C16+(C104-C16)*2/5))</f>
        <v>21.052180395730417</v>
      </c>
      <c r="D59" s="6">
        <f t="shared" si="19"/>
        <v>10.682144698225988</v>
      </c>
      <c r="E59" s="6">
        <f t="shared" si="19"/>
        <v>6.0679201557869016</v>
      </c>
      <c r="F59" s="6">
        <f t="shared" si="19"/>
        <v>0</v>
      </c>
      <c r="G59" s="6">
        <f t="shared" si="19"/>
        <v>0</v>
      </c>
      <c r="H59" s="6">
        <f t="shared" si="19"/>
        <v>0</v>
      </c>
      <c r="I59" s="6">
        <f t="shared" si="19"/>
        <v>0</v>
      </c>
      <c r="J59" s="6">
        <f t="shared" si="19"/>
        <v>0</v>
      </c>
    </row>
    <row r="60" spans="1:10" x14ac:dyDescent="0.4">
      <c r="A60" s="4" t="s">
        <v>124</v>
      </c>
      <c r="C60" s="6">
        <f t="shared" ref="C60:J60" si="20">C54/((1+C16)*(1+C16+(C104-C16)*1/5)*(1+C16+(C104-C16)*2/5)*(1+C16+(C104-C16)*3/5))</f>
        <v>22.188849496078632</v>
      </c>
      <c r="D60" s="6">
        <f t="shared" si="20"/>
        <v>9.7161189764981941</v>
      </c>
      <c r="E60" s="6">
        <f t="shared" si="20"/>
        <v>3.8678358860677333</v>
      </c>
      <c r="F60" s="6">
        <f t="shared" si="20"/>
        <v>0</v>
      </c>
      <c r="G60" s="6">
        <f t="shared" si="20"/>
        <v>0</v>
      </c>
      <c r="H60" s="6">
        <f t="shared" si="20"/>
        <v>0</v>
      </c>
      <c r="I60" s="6">
        <f t="shared" si="20"/>
        <v>0</v>
      </c>
      <c r="J60" s="6">
        <f t="shared" si="20"/>
        <v>0</v>
      </c>
    </row>
    <row r="61" spans="1:10" x14ac:dyDescent="0.4">
      <c r="A61" s="4" t="s">
        <v>125</v>
      </c>
      <c r="C61" s="6">
        <f t="shared" ref="C61:J61" si="21">C55/((1+C16)*(1+C16+(C104-C16)*1/5)*(1+C16+(C104-C16)*2/5)*(1+C16+(C104-C16)*3/5)*(1+C16+(C104-C16)*4/5))</f>
        <v>23.027671714214925</v>
      </c>
      <c r="D61" s="6">
        <f t="shared" si="21"/>
        <v>8.8389471008264646</v>
      </c>
      <c r="E61" s="6">
        <f t="shared" si="21"/>
        <v>2.4541428555107263</v>
      </c>
      <c r="F61" s="6">
        <f t="shared" si="21"/>
        <v>0</v>
      </c>
      <c r="G61" s="6">
        <f t="shared" si="21"/>
        <v>0</v>
      </c>
      <c r="H61" s="6">
        <f t="shared" si="21"/>
        <v>0</v>
      </c>
      <c r="I61" s="6">
        <f t="shared" si="21"/>
        <v>0</v>
      </c>
      <c r="J61" s="6">
        <f t="shared" si="21"/>
        <v>0</v>
      </c>
    </row>
    <row r="62" spans="1:10" x14ac:dyDescent="0.4">
      <c r="A62" s="3" t="s">
        <v>126</v>
      </c>
    </row>
    <row r="63" spans="1:10" x14ac:dyDescent="0.4">
      <c r="A63" s="4" t="s">
        <v>127</v>
      </c>
      <c r="C63" s="6">
        <f t="shared" ref="C63:J63" si="22">C25*(1+(C6+(C13-C6)*1/5))</f>
        <v>470.44008610114076</v>
      </c>
      <c r="D63" s="6">
        <f t="shared" si="22"/>
        <v>109.93530171691913</v>
      </c>
      <c r="E63" s="6">
        <f t="shared" si="22"/>
        <v>49.167348046874999</v>
      </c>
      <c r="F63" s="6">
        <f t="shared" si="22"/>
        <v>0</v>
      </c>
      <c r="G63" s="6">
        <f t="shared" si="22"/>
        <v>0</v>
      </c>
      <c r="H63" s="6">
        <f t="shared" si="22"/>
        <v>0</v>
      </c>
      <c r="I63" s="6">
        <f t="shared" si="22"/>
        <v>0</v>
      </c>
      <c r="J63" s="6">
        <f t="shared" si="22"/>
        <v>0</v>
      </c>
    </row>
    <row r="64" spans="1:10" x14ac:dyDescent="0.4">
      <c r="A64" s="4" t="s">
        <v>128</v>
      </c>
      <c r="C64" s="6">
        <f t="shared" ref="C64:J64" si="23">C63*(1+(C6+(C13-C6)*2/5))</f>
        <v>477.02624730655674</v>
      </c>
      <c r="D64" s="6">
        <f t="shared" si="23"/>
        <v>108.39620749288225</v>
      </c>
      <c r="E64" s="6">
        <f t="shared" si="23"/>
        <v>42.185584624218748</v>
      </c>
      <c r="F64" s="6">
        <f t="shared" si="23"/>
        <v>0</v>
      </c>
      <c r="G64" s="6">
        <f t="shared" si="23"/>
        <v>0</v>
      </c>
      <c r="H64" s="6">
        <f t="shared" si="23"/>
        <v>0</v>
      </c>
      <c r="I64" s="6">
        <f t="shared" si="23"/>
        <v>0</v>
      </c>
      <c r="J64" s="6">
        <f t="shared" si="23"/>
        <v>0</v>
      </c>
    </row>
    <row r="65" spans="1:10" x14ac:dyDescent="0.4">
      <c r="A65" s="4" t="s">
        <v>129</v>
      </c>
      <c r="C65" s="6">
        <f t="shared" ref="C65:J65" si="24">C64*(1+(C6+(C13-C6)*3/5))</f>
        <v>484.65866726346167</v>
      </c>
      <c r="D65" s="6">
        <f t="shared" si="24"/>
        <v>107.74583024792496</v>
      </c>
      <c r="E65" s="6">
        <f t="shared" si="24"/>
        <v>38.473253177287496</v>
      </c>
      <c r="F65" s="6">
        <f t="shared" si="24"/>
        <v>0</v>
      </c>
      <c r="G65" s="6">
        <f t="shared" si="24"/>
        <v>0</v>
      </c>
      <c r="H65" s="6">
        <f t="shared" si="24"/>
        <v>0</v>
      </c>
      <c r="I65" s="6">
        <f t="shared" si="24"/>
        <v>0</v>
      </c>
      <c r="J65" s="6">
        <f t="shared" si="24"/>
        <v>0</v>
      </c>
    </row>
    <row r="66" spans="1:10" x14ac:dyDescent="0.4">
      <c r="A66" s="4" t="s">
        <v>130</v>
      </c>
      <c r="C66" s="6">
        <f t="shared" ref="C66:J66" si="25">C65*(1+(C6+(C13-C6)*4/5))</f>
        <v>493.382523274204</v>
      </c>
      <c r="D66" s="6">
        <f t="shared" si="25"/>
        <v>107.9613219084208</v>
      </c>
      <c r="E66" s="6">
        <f t="shared" si="25"/>
        <v>37.165162569259721</v>
      </c>
      <c r="F66" s="6">
        <f t="shared" si="25"/>
        <v>0</v>
      </c>
      <c r="G66" s="6">
        <f t="shared" si="25"/>
        <v>0</v>
      </c>
      <c r="H66" s="6">
        <f t="shared" si="25"/>
        <v>0</v>
      </c>
      <c r="I66" s="6">
        <f t="shared" si="25"/>
        <v>0</v>
      </c>
      <c r="J66" s="6">
        <f t="shared" si="25"/>
        <v>0</v>
      </c>
    </row>
    <row r="67" spans="1:10" x14ac:dyDescent="0.4">
      <c r="A67" s="4" t="s">
        <v>131</v>
      </c>
      <c r="C67" s="6">
        <f t="shared" ref="C67:J67" si="26">C66*(1+(C6+(C13-C6)*5/5))</f>
        <v>503.25017373968808</v>
      </c>
      <c r="D67" s="6">
        <f t="shared" si="26"/>
        <v>109.04093512750501</v>
      </c>
      <c r="E67" s="6">
        <f t="shared" si="26"/>
        <v>37.908465820644913</v>
      </c>
      <c r="F67" s="6">
        <f t="shared" si="26"/>
        <v>0</v>
      </c>
      <c r="G67" s="6">
        <f t="shared" si="26"/>
        <v>0</v>
      </c>
      <c r="H67" s="6">
        <f t="shared" si="26"/>
        <v>0</v>
      </c>
      <c r="I67" s="6">
        <f t="shared" si="26"/>
        <v>0</v>
      </c>
      <c r="J67" s="6">
        <f t="shared" si="26"/>
        <v>0</v>
      </c>
    </row>
    <row r="69" spans="1:10" x14ac:dyDescent="0.4">
      <c r="A69" s="4" t="s">
        <v>132</v>
      </c>
      <c r="C69" s="11">
        <f t="shared" ref="C69:J69" si="27">IF(ISBLANK(C9),C7,C9)</f>
        <v>0.12</v>
      </c>
      <c r="D69" s="11">
        <f t="shared" si="27"/>
        <v>0.18</v>
      </c>
      <c r="E69" s="11">
        <f t="shared" si="27"/>
        <v>0.12</v>
      </c>
      <c r="F69" s="11">
        <f t="shared" si="27"/>
        <v>0</v>
      </c>
      <c r="G69" s="11">
        <f t="shared" si="27"/>
        <v>0</v>
      </c>
      <c r="H69" s="11">
        <f t="shared" si="27"/>
        <v>0</v>
      </c>
      <c r="I69" s="11">
        <f t="shared" si="27"/>
        <v>0</v>
      </c>
      <c r="J69" s="11">
        <f t="shared" si="27"/>
        <v>0</v>
      </c>
    </row>
    <row r="70" spans="1:10" x14ac:dyDescent="0.4">
      <c r="A70" s="4" t="s">
        <v>133</v>
      </c>
      <c r="C70" s="11">
        <f t="shared" ref="C70:J70" si="28">IF(ISBLANK(C9),C7,C9)</f>
        <v>0.12</v>
      </c>
      <c r="D70" s="11">
        <f t="shared" si="28"/>
        <v>0.18</v>
      </c>
      <c r="E70" s="11">
        <f t="shared" si="28"/>
        <v>0.12</v>
      </c>
      <c r="F70" s="11">
        <f t="shared" si="28"/>
        <v>0</v>
      </c>
      <c r="G70" s="11">
        <f t="shared" si="28"/>
        <v>0</v>
      </c>
      <c r="H70" s="11">
        <f t="shared" si="28"/>
        <v>0</v>
      </c>
      <c r="I70" s="11">
        <f t="shared" si="28"/>
        <v>0</v>
      </c>
      <c r="J70" s="11">
        <f t="shared" si="28"/>
        <v>0</v>
      </c>
    </row>
    <row r="71" spans="1:10" x14ac:dyDescent="0.4">
      <c r="A71" s="4" t="s">
        <v>134</v>
      </c>
      <c r="C71" s="11">
        <f t="shared" ref="C71:J71" si="29">IF(ISBLANK(C9),C7,C9)</f>
        <v>0.12</v>
      </c>
      <c r="D71" s="11">
        <f t="shared" si="29"/>
        <v>0.18</v>
      </c>
      <c r="E71" s="11">
        <f t="shared" si="29"/>
        <v>0.12</v>
      </c>
      <c r="F71" s="11">
        <f t="shared" si="29"/>
        <v>0</v>
      </c>
      <c r="G71" s="11">
        <f t="shared" si="29"/>
        <v>0</v>
      </c>
      <c r="H71" s="11">
        <f t="shared" si="29"/>
        <v>0</v>
      </c>
      <c r="I71" s="11">
        <f t="shared" si="29"/>
        <v>0</v>
      </c>
      <c r="J71" s="11">
        <f t="shared" si="29"/>
        <v>0</v>
      </c>
    </row>
    <row r="72" spans="1:10" x14ac:dyDescent="0.4">
      <c r="A72" s="4" t="s">
        <v>135</v>
      </c>
      <c r="C72" s="11">
        <f t="shared" ref="C72:J72" si="30">IF(ISBLANK(C9),C7,C9)</f>
        <v>0.12</v>
      </c>
      <c r="D72" s="11">
        <f t="shared" si="30"/>
        <v>0.18</v>
      </c>
      <c r="E72" s="11">
        <f t="shared" si="30"/>
        <v>0.12</v>
      </c>
      <c r="F72" s="11">
        <f t="shared" si="30"/>
        <v>0</v>
      </c>
      <c r="G72" s="11">
        <f t="shared" si="30"/>
        <v>0</v>
      </c>
      <c r="H72" s="11">
        <f t="shared" si="30"/>
        <v>0</v>
      </c>
      <c r="I72" s="11">
        <f t="shared" si="30"/>
        <v>0</v>
      </c>
      <c r="J72" s="11">
        <f t="shared" si="30"/>
        <v>0</v>
      </c>
    </row>
    <row r="73" spans="1:10" x14ac:dyDescent="0.4">
      <c r="A73" s="4" t="s">
        <v>136</v>
      </c>
      <c r="C73" s="11">
        <f t="shared" ref="C73:J73" si="31">IF(ISBLANK(C9),C7,C9)</f>
        <v>0.12</v>
      </c>
      <c r="D73" s="11">
        <f t="shared" si="31"/>
        <v>0.18</v>
      </c>
      <c r="E73" s="11">
        <f t="shared" si="31"/>
        <v>0.12</v>
      </c>
      <c r="F73" s="11">
        <f t="shared" si="31"/>
        <v>0</v>
      </c>
      <c r="G73" s="11">
        <f t="shared" si="31"/>
        <v>0</v>
      </c>
      <c r="H73" s="11">
        <f t="shared" si="31"/>
        <v>0</v>
      </c>
      <c r="I73" s="11">
        <f t="shared" si="31"/>
        <v>0</v>
      </c>
      <c r="J73" s="11">
        <f t="shared" si="31"/>
        <v>0</v>
      </c>
    </row>
    <row r="75" spans="1:10" x14ac:dyDescent="0.4">
      <c r="A75" s="4" t="s">
        <v>137</v>
      </c>
      <c r="C75" s="6">
        <f t="shared" ref="C75:J79" si="32">C63*C69</f>
        <v>56.452810332136892</v>
      </c>
      <c r="D75" s="6">
        <f t="shared" si="32"/>
        <v>19.788354309045442</v>
      </c>
      <c r="E75" s="6">
        <f t="shared" si="32"/>
        <v>5.900081765625</v>
      </c>
      <c r="F75" s="6">
        <f t="shared" si="32"/>
        <v>0</v>
      </c>
      <c r="G75" s="6">
        <f t="shared" si="32"/>
        <v>0</v>
      </c>
      <c r="H75" s="6">
        <f t="shared" si="32"/>
        <v>0</v>
      </c>
      <c r="I75" s="6">
        <f t="shared" si="32"/>
        <v>0</v>
      </c>
      <c r="J75" s="6">
        <f t="shared" si="32"/>
        <v>0</v>
      </c>
    </row>
    <row r="76" spans="1:10" x14ac:dyDescent="0.4">
      <c r="A76" s="4" t="s">
        <v>138</v>
      </c>
      <c r="C76" s="6">
        <f t="shared" si="32"/>
        <v>57.243149676786807</v>
      </c>
      <c r="D76" s="6">
        <f t="shared" si="32"/>
        <v>19.511317348718805</v>
      </c>
      <c r="E76" s="6">
        <f t="shared" si="32"/>
        <v>5.0622701549062494</v>
      </c>
      <c r="F76" s="6">
        <f t="shared" si="32"/>
        <v>0</v>
      </c>
      <c r="G76" s="6">
        <f t="shared" si="32"/>
        <v>0</v>
      </c>
      <c r="H76" s="6">
        <f t="shared" si="32"/>
        <v>0</v>
      </c>
      <c r="I76" s="6">
        <f t="shared" si="32"/>
        <v>0</v>
      </c>
      <c r="J76" s="6">
        <f t="shared" si="32"/>
        <v>0</v>
      </c>
    </row>
    <row r="77" spans="1:10" x14ac:dyDescent="0.4">
      <c r="A77" s="4" t="s">
        <v>139</v>
      </c>
      <c r="C77" s="6">
        <f t="shared" si="32"/>
        <v>58.159040071615401</v>
      </c>
      <c r="D77" s="6">
        <f t="shared" si="32"/>
        <v>19.394249444626492</v>
      </c>
      <c r="E77" s="6">
        <f t="shared" si="32"/>
        <v>4.616790381274499</v>
      </c>
      <c r="F77" s="6">
        <f t="shared" si="32"/>
        <v>0</v>
      </c>
      <c r="G77" s="6">
        <f t="shared" si="32"/>
        <v>0</v>
      </c>
      <c r="H77" s="6">
        <f t="shared" si="32"/>
        <v>0</v>
      </c>
      <c r="I77" s="6">
        <f t="shared" si="32"/>
        <v>0</v>
      </c>
      <c r="J77" s="6">
        <f t="shared" si="32"/>
        <v>0</v>
      </c>
    </row>
    <row r="78" spans="1:10" x14ac:dyDescent="0.4">
      <c r="A78" s="4" t="s">
        <v>140</v>
      </c>
      <c r="C78" s="6">
        <f t="shared" si="32"/>
        <v>59.205902792904482</v>
      </c>
      <c r="D78" s="6">
        <f t="shared" si="32"/>
        <v>19.433037943515743</v>
      </c>
      <c r="E78" s="6">
        <f t="shared" si="32"/>
        <v>4.459819508311166</v>
      </c>
      <c r="F78" s="6">
        <f t="shared" si="32"/>
        <v>0</v>
      </c>
      <c r="G78" s="6">
        <f t="shared" si="32"/>
        <v>0</v>
      </c>
      <c r="H78" s="6">
        <f t="shared" si="32"/>
        <v>0</v>
      </c>
      <c r="I78" s="6">
        <f t="shared" si="32"/>
        <v>0</v>
      </c>
      <c r="J78" s="6">
        <f t="shared" si="32"/>
        <v>0</v>
      </c>
    </row>
    <row r="79" spans="1:10" x14ac:dyDescent="0.4">
      <c r="A79" s="4" t="s">
        <v>141</v>
      </c>
      <c r="C79" s="6">
        <f t="shared" si="32"/>
        <v>60.390020848762568</v>
      </c>
      <c r="D79" s="6">
        <f t="shared" si="32"/>
        <v>19.6273683229509</v>
      </c>
      <c r="E79" s="6">
        <f t="shared" si="32"/>
        <v>4.5490158984773892</v>
      </c>
      <c r="F79" s="6">
        <f t="shared" si="32"/>
        <v>0</v>
      </c>
      <c r="G79" s="6">
        <f t="shared" si="32"/>
        <v>0</v>
      </c>
      <c r="H79" s="6">
        <f t="shared" si="32"/>
        <v>0</v>
      </c>
      <c r="I79" s="6">
        <f t="shared" si="32"/>
        <v>0</v>
      </c>
      <c r="J79" s="6">
        <f t="shared" si="32"/>
        <v>0</v>
      </c>
    </row>
    <row r="81" spans="1:10" x14ac:dyDescent="0.4">
      <c r="A81" s="4" t="s">
        <v>142</v>
      </c>
      <c r="C81" s="6">
        <f>C75*(1-Inputs!B22)</f>
        <v>39.516967232495823</v>
      </c>
      <c r="D81" s="6">
        <f>D75*(1-Inputs!B22)</f>
        <v>13.851848016331809</v>
      </c>
      <c r="E81" s="6">
        <f>E75*(1-Inputs!B22)</f>
        <v>4.1300572359374996</v>
      </c>
      <c r="F81" s="6">
        <f>F75*(1-Inputs!B22)</f>
        <v>0</v>
      </c>
      <c r="G81" s="6">
        <f>G75*(1-Inputs!B22)</f>
        <v>0</v>
      </c>
      <c r="H81" s="6">
        <f>H75*(1-Inputs!B22)</f>
        <v>0</v>
      </c>
      <c r="I81" s="6">
        <f>I75*(1-Inputs!B22)</f>
        <v>0</v>
      </c>
      <c r="J81" s="6">
        <f>J75*(1-Inputs!B22)</f>
        <v>0</v>
      </c>
    </row>
    <row r="82" spans="1:10" x14ac:dyDescent="0.4">
      <c r="A82" s="4" t="s">
        <v>143</v>
      </c>
      <c r="C82" s="6">
        <f>C76*(1-Inputs!B22)</f>
        <v>40.07020477375076</v>
      </c>
      <c r="D82" s="6">
        <f>D76*(1-Inputs!B22)</f>
        <v>13.657922144103162</v>
      </c>
      <c r="E82" s="6">
        <f>E76*(1-Inputs!B22)</f>
        <v>3.5435891084343742</v>
      </c>
      <c r="F82" s="6">
        <f>F76*(1-Inputs!B22)</f>
        <v>0</v>
      </c>
      <c r="G82" s="6">
        <f>G76*(1-Inputs!B22)</f>
        <v>0</v>
      </c>
      <c r="H82" s="6">
        <f>H76*(1-Inputs!B22)</f>
        <v>0</v>
      </c>
      <c r="I82" s="6">
        <f>I76*(1-Inputs!B22)</f>
        <v>0</v>
      </c>
      <c r="J82" s="6">
        <f>J76*(1-Inputs!B22)</f>
        <v>0</v>
      </c>
    </row>
    <row r="83" spans="1:10" x14ac:dyDescent="0.4">
      <c r="A83" s="4" t="s">
        <v>144</v>
      </c>
      <c r="C83" s="6">
        <f>C77*(1-Inputs!B22)</f>
        <v>40.711328050130781</v>
      </c>
      <c r="D83" s="6">
        <f>D77*(1-Inputs!B22)</f>
        <v>13.575974611238545</v>
      </c>
      <c r="E83" s="6">
        <f>E77*(1-Inputs!B22)</f>
        <v>3.2317532668921491</v>
      </c>
      <c r="F83" s="6">
        <f>F77*(1-Inputs!B22)</f>
        <v>0</v>
      </c>
      <c r="G83" s="6">
        <f>G77*(1-Inputs!B22)</f>
        <v>0</v>
      </c>
      <c r="H83" s="6">
        <f>H77*(1-Inputs!B22)</f>
        <v>0</v>
      </c>
      <c r="I83" s="6">
        <f>I77*(1-Inputs!B22)</f>
        <v>0</v>
      </c>
      <c r="J83" s="6">
        <f>J77*(1-Inputs!B22)</f>
        <v>0</v>
      </c>
    </row>
    <row r="84" spans="1:10" x14ac:dyDescent="0.4">
      <c r="A84" s="4" t="s">
        <v>145</v>
      </c>
      <c r="C84" s="6">
        <f>C78*(1-Inputs!B22)</f>
        <v>41.444131955033136</v>
      </c>
      <c r="D84" s="6">
        <f>D78*(1-Inputs!B22)</f>
        <v>13.603126560461019</v>
      </c>
      <c r="E84" s="6">
        <f>E78*(1-Inputs!B22)</f>
        <v>3.121873655817816</v>
      </c>
      <c r="F84" s="6">
        <f>F78*(1-Inputs!B22)</f>
        <v>0</v>
      </c>
      <c r="G84" s="6">
        <f>G78*(1-Inputs!B22)</f>
        <v>0</v>
      </c>
      <c r="H84" s="6">
        <f>H78*(1-Inputs!B22)</f>
        <v>0</v>
      </c>
      <c r="I84" s="6">
        <f>I78*(1-Inputs!B22)</f>
        <v>0</v>
      </c>
      <c r="J84" s="6">
        <f>J78*(1-Inputs!B22)</f>
        <v>0</v>
      </c>
    </row>
    <row r="85" spans="1:10" x14ac:dyDescent="0.4">
      <c r="A85" s="4" t="s">
        <v>146</v>
      </c>
      <c r="C85" s="6">
        <f>C79*(1-Inputs!B22)</f>
        <v>42.273014594133798</v>
      </c>
      <c r="D85" s="6">
        <f>D79*(1-Inputs!B22)</f>
        <v>13.739157826065629</v>
      </c>
      <c r="E85" s="6">
        <f>E79*(1-Inputs!B22)</f>
        <v>3.1843111289341723</v>
      </c>
      <c r="F85" s="6">
        <f>F79*(1-Inputs!B22)</f>
        <v>0</v>
      </c>
      <c r="G85" s="6">
        <f>G79*(1-Inputs!B22)</f>
        <v>0</v>
      </c>
      <c r="H85" s="6">
        <f>H79*(1-Inputs!B22)</f>
        <v>0</v>
      </c>
      <c r="I85" s="6">
        <f>I79*(1-Inputs!B22)</f>
        <v>0</v>
      </c>
      <c r="J85" s="6">
        <f>J79*(1-Inputs!B22)</f>
        <v>0</v>
      </c>
    </row>
    <row r="87" spans="1:10" x14ac:dyDescent="0.4">
      <c r="A87" s="4" t="s">
        <v>147</v>
      </c>
      <c r="C87" s="6">
        <f t="shared" ref="C87:J87" si="33">C63*MAX(IF(ISBLANK(C26),C12,C26),0)</f>
        <v>2.3522004305057038</v>
      </c>
      <c r="D87" s="6">
        <f t="shared" si="33"/>
        <v>0</v>
      </c>
      <c r="E87" s="6">
        <f t="shared" si="33"/>
        <v>0.98334696093749996</v>
      </c>
      <c r="F87" s="6">
        <f t="shared" si="33"/>
        <v>0</v>
      </c>
      <c r="G87" s="6">
        <f t="shared" si="33"/>
        <v>0</v>
      </c>
      <c r="H87" s="6">
        <f t="shared" si="33"/>
        <v>0</v>
      </c>
      <c r="I87" s="6">
        <f t="shared" si="33"/>
        <v>0</v>
      </c>
      <c r="J87" s="6">
        <f t="shared" si="33"/>
        <v>0</v>
      </c>
    </row>
    <row r="88" spans="1:10" x14ac:dyDescent="0.4">
      <c r="A88" s="4" t="s">
        <v>148</v>
      </c>
      <c r="C88" s="6">
        <f t="shared" ref="C88:J88" si="34">C64*MAX(IF(ISBLANK(C26),C12,C26),0)</f>
        <v>2.3851312365327839</v>
      </c>
      <c r="D88" s="6">
        <f t="shared" si="34"/>
        <v>0</v>
      </c>
      <c r="E88" s="6">
        <f t="shared" si="34"/>
        <v>0.84371169248437494</v>
      </c>
      <c r="F88" s="6">
        <f t="shared" si="34"/>
        <v>0</v>
      </c>
      <c r="G88" s="6">
        <f t="shared" si="34"/>
        <v>0</v>
      </c>
      <c r="H88" s="6">
        <f t="shared" si="34"/>
        <v>0</v>
      </c>
      <c r="I88" s="6">
        <f t="shared" si="34"/>
        <v>0</v>
      </c>
      <c r="J88" s="6">
        <f t="shared" si="34"/>
        <v>0</v>
      </c>
    </row>
    <row r="89" spans="1:10" x14ac:dyDescent="0.4">
      <c r="A89" s="4" t="s">
        <v>149</v>
      </c>
      <c r="C89" s="6">
        <f t="shared" ref="C89:J89" si="35">C65*MAX(IF(ISBLANK(C26),C12,C26),0)</f>
        <v>2.4232933363173084</v>
      </c>
      <c r="D89" s="6">
        <f t="shared" si="35"/>
        <v>0</v>
      </c>
      <c r="E89" s="6">
        <f t="shared" si="35"/>
        <v>0.76946506354574995</v>
      </c>
      <c r="F89" s="6">
        <f t="shared" si="35"/>
        <v>0</v>
      </c>
      <c r="G89" s="6">
        <f t="shared" si="35"/>
        <v>0</v>
      </c>
      <c r="H89" s="6">
        <f t="shared" si="35"/>
        <v>0</v>
      </c>
      <c r="I89" s="6">
        <f t="shared" si="35"/>
        <v>0</v>
      </c>
      <c r="J89" s="6">
        <f t="shared" si="35"/>
        <v>0</v>
      </c>
    </row>
    <row r="90" spans="1:10" x14ac:dyDescent="0.4">
      <c r="A90" s="4" t="s">
        <v>150</v>
      </c>
      <c r="C90" s="6">
        <f t="shared" ref="C90:J90" si="36">C66*MAX(IF(ISBLANK(C26),C12,C26),0)</f>
        <v>2.4669126163710202</v>
      </c>
      <c r="D90" s="6">
        <f t="shared" si="36"/>
        <v>0</v>
      </c>
      <c r="E90" s="6">
        <f t="shared" si="36"/>
        <v>0.74330325138519437</v>
      </c>
      <c r="F90" s="6">
        <f t="shared" si="36"/>
        <v>0</v>
      </c>
      <c r="G90" s="6">
        <f t="shared" si="36"/>
        <v>0</v>
      </c>
      <c r="H90" s="6">
        <f t="shared" si="36"/>
        <v>0</v>
      </c>
      <c r="I90" s="6">
        <f t="shared" si="36"/>
        <v>0</v>
      </c>
      <c r="J90" s="6">
        <f t="shared" si="36"/>
        <v>0</v>
      </c>
    </row>
    <row r="91" spans="1:10" x14ac:dyDescent="0.4">
      <c r="A91" s="4" t="s">
        <v>151</v>
      </c>
      <c r="C91" s="6">
        <f t="shared" ref="C91:J91" si="37">C67*MAX(IF(ISBLANK(C26),C12,C26),0)</f>
        <v>2.5162508686984406</v>
      </c>
      <c r="D91" s="6">
        <f t="shared" si="37"/>
        <v>0</v>
      </c>
      <c r="E91" s="6">
        <f t="shared" si="37"/>
        <v>0.75816931641289831</v>
      </c>
      <c r="F91" s="6">
        <f t="shared" si="37"/>
        <v>0</v>
      </c>
      <c r="G91" s="6">
        <f t="shared" si="37"/>
        <v>0</v>
      </c>
      <c r="H91" s="6">
        <f t="shared" si="37"/>
        <v>0</v>
      </c>
      <c r="I91" s="6">
        <f t="shared" si="37"/>
        <v>0</v>
      </c>
      <c r="J91" s="6">
        <f t="shared" si="37"/>
        <v>0</v>
      </c>
    </row>
    <row r="93" spans="1:10" x14ac:dyDescent="0.4">
      <c r="A93" s="4" t="s">
        <v>152</v>
      </c>
      <c r="C93" s="6">
        <f t="shared" ref="C93:J97" si="38">C81-C87</f>
        <v>37.164766801990119</v>
      </c>
      <c r="D93" s="6">
        <f t="shared" si="38"/>
        <v>13.851848016331809</v>
      </c>
      <c r="E93" s="6">
        <f t="shared" si="38"/>
        <v>3.1467102749999998</v>
      </c>
      <c r="F93" s="6">
        <f t="shared" si="38"/>
        <v>0</v>
      </c>
      <c r="G93" s="6">
        <f t="shared" si="38"/>
        <v>0</v>
      </c>
      <c r="H93" s="6">
        <f t="shared" si="38"/>
        <v>0</v>
      </c>
      <c r="I93" s="6">
        <f t="shared" si="38"/>
        <v>0</v>
      </c>
      <c r="J93" s="6">
        <f t="shared" si="38"/>
        <v>0</v>
      </c>
    </row>
    <row r="94" spans="1:10" x14ac:dyDescent="0.4">
      <c r="A94" s="4" t="s">
        <v>153</v>
      </c>
      <c r="C94" s="6">
        <f t="shared" si="38"/>
        <v>37.685073537217974</v>
      </c>
      <c r="D94" s="6">
        <f t="shared" si="38"/>
        <v>13.657922144103162</v>
      </c>
      <c r="E94" s="6">
        <f t="shared" si="38"/>
        <v>2.6998774159499992</v>
      </c>
      <c r="F94" s="6">
        <f t="shared" si="38"/>
        <v>0</v>
      </c>
      <c r="G94" s="6">
        <f t="shared" si="38"/>
        <v>0</v>
      </c>
      <c r="H94" s="6">
        <f t="shared" si="38"/>
        <v>0</v>
      </c>
      <c r="I94" s="6">
        <f t="shared" si="38"/>
        <v>0</v>
      </c>
      <c r="J94" s="6">
        <f t="shared" si="38"/>
        <v>0</v>
      </c>
    </row>
    <row r="95" spans="1:10" x14ac:dyDescent="0.4">
      <c r="A95" s="4" t="s">
        <v>154</v>
      </c>
      <c r="C95" s="6">
        <f t="shared" si="38"/>
        <v>38.288034713813474</v>
      </c>
      <c r="D95" s="6">
        <f t="shared" si="38"/>
        <v>13.575974611238545</v>
      </c>
      <c r="E95" s="6">
        <f t="shared" si="38"/>
        <v>2.4622882033463993</v>
      </c>
      <c r="F95" s="6">
        <f t="shared" si="38"/>
        <v>0</v>
      </c>
      <c r="G95" s="6">
        <f t="shared" si="38"/>
        <v>0</v>
      </c>
      <c r="H95" s="6">
        <f t="shared" si="38"/>
        <v>0</v>
      </c>
      <c r="I95" s="6">
        <f t="shared" si="38"/>
        <v>0</v>
      </c>
      <c r="J95" s="6">
        <f t="shared" si="38"/>
        <v>0</v>
      </c>
    </row>
    <row r="96" spans="1:10" x14ac:dyDescent="0.4">
      <c r="A96" s="4" t="s">
        <v>155</v>
      </c>
      <c r="C96" s="6">
        <f t="shared" si="38"/>
        <v>38.977219338662117</v>
      </c>
      <c r="D96" s="6">
        <f t="shared" si="38"/>
        <v>13.603126560461019</v>
      </c>
      <c r="E96" s="6">
        <f t="shared" si="38"/>
        <v>2.3785704044326215</v>
      </c>
      <c r="F96" s="6">
        <f t="shared" si="38"/>
        <v>0</v>
      </c>
      <c r="G96" s="6">
        <f t="shared" si="38"/>
        <v>0</v>
      </c>
      <c r="H96" s="6">
        <f t="shared" si="38"/>
        <v>0</v>
      </c>
      <c r="I96" s="6">
        <f t="shared" si="38"/>
        <v>0</v>
      </c>
      <c r="J96" s="6">
        <f t="shared" si="38"/>
        <v>0</v>
      </c>
    </row>
    <row r="97" spans="1:11" x14ac:dyDescent="0.4">
      <c r="A97" s="4" t="s">
        <v>156</v>
      </c>
      <c r="C97" s="6">
        <f t="shared" si="38"/>
        <v>39.756763725435356</v>
      </c>
      <c r="D97" s="6">
        <f t="shared" si="38"/>
        <v>13.739157826065629</v>
      </c>
      <c r="E97" s="6">
        <f t="shared" si="38"/>
        <v>2.4261418125212741</v>
      </c>
      <c r="F97" s="6">
        <f t="shared" si="38"/>
        <v>0</v>
      </c>
      <c r="G97" s="6">
        <f t="shared" si="38"/>
        <v>0</v>
      </c>
      <c r="H97" s="6">
        <f t="shared" si="38"/>
        <v>0</v>
      </c>
      <c r="I97" s="6">
        <f t="shared" si="38"/>
        <v>0</v>
      </c>
      <c r="J97" s="6">
        <f t="shared" si="38"/>
        <v>0</v>
      </c>
    </row>
    <row r="99" spans="1:11" x14ac:dyDescent="0.4">
      <c r="A99" s="4" t="s">
        <v>157</v>
      </c>
      <c r="C99" s="6">
        <f t="shared" ref="C99:J99" si="39">C93/(((1+C16)*(1+C16+(C104-C16)*1/5)*(1+C16+(C104-C16)*2/5)*(1+C16+(C104-C16)*3/5)*(1+C16+(C104-C16)*4/5))*(1+C104)^1)</f>
        <v>21.269657557464697</v>
      </c>
      <c r="D99" s="6">
        <f t="shared" si="39"/>
        <v>7.8898608781549537</v>
      </c>
      <c r="E99" s="6">
        <f t="shared" si="39"/>
        <v>1.8008844327854516</v>
      </c>
      <c r="F99" s="6">
        <f t="shared" si="39"/>
        <v>0</v>
      </c>
      <c r="G99" s="6">
        <f t="shared" si="39"/>
        <v>0</v>
      </c>
      <c r="H99" s="6">
        <f t="shared" si="39"/>
        <v>0</v>
      </c>
      <c r="I99" s="6">
        <f t="shared" si="39"/>
        <v>0</v>
      </c>
      <c r="J99" s="6">
        <f t="shared" si="39"/>
        <v>0</v>
      </c>
    </row>
    <row r="100" spans="1:11" x14ac:dyDescent="0.4">
      <c r="A100" s="4" t="s">
        <v>158</v>
      </c>
      <c r="C100" s="6">
        <f t="shared" ref="C100:J100" si="40">C94/(((1+C16)*(1+C16+(C104-C16)*1/5)*(1+C16+(C104-C16)*2/5)*(1+C16+(C104-C16)*3/5)*(1+C16+(C104-C16)*4/5))*(1+C104)^2)</f>
        <v>19.684682241800857</v>
      </c>
      <c r="D100" s="6">
        <f t="shared" si="40"/>
        <v>7.1002921088891302</v>
      </c>
      <c r="E100" s="6">
        <f t="shared" si="40"/>
        <v>1.4102726633212654</v>
      </c>
      <c r="F100" s="6">
        <f t="shared" si="40"/>
        <v>0</v>
      </c>
      <c r="G100" s="6">
        <f t="shared" si="40"/>
        <v>0</v>
      </c>
      <c r="H100" s="6">
        <f t="shared" si="40"/>
        <v>0</v>
      </c>
      <c r="I100" s="6">
        <f t="shared" si="40"/>
        <v>0</v>
      </c>
      <c r="J100" s="6">
        <f t="shared" si="40"/>
        <v>0</v>
      </c>
    </row>
    <row r="101" spans="1:11" x14ac:dyDescent="0.4">
      <c r="A101" s="4" t="s">
        <v>159</v>
      </c>
      <c r="C101" s="6">
        <f t="shared" ref="C101:J101" si="41">C95/(((1+C16)*(1+C16+(C104-C16)*1/5)*(1+C16+(C104-C16)*2/5)*(1+C16+(C104-C16)*3/5)*(1+C16+(C104-C16)*4/5))*(1+C104)^3)</f>
        <v>18.253748914915626</v>
      </c>
      <c r="D101" s="6">
        <f t="shared" si="41"/>
        <v>6.4415822480331739</v>
      </c>
      <c r="E101" s="6">
        <f t="shared" si="41"/>
        <v>1.1738912941339441</v>
      </c>
      <c r="F101" s="6">
        <f t="shared" si="41"/>
        <v>0</v>
      </c>
      <c r="G101" s="6">
        <f t="shared" si="41"/>
        <v>0</v>
      </c>
      <c r="H101" s="6">
        <f t="shared" si="41"/>
        <v>0</v>
      </c>
      <c r="I101" s="6">
        <f t="shared" si="41"/>
        <v>0</v>
      </c>
      <c r="J101" s="6">
        <f t="shared" si="41"/>
        <v>0</v>
      </c>
    </row>
    <row r="102" spans="1:11" x14ac:dyDescent="0.4">
      <c r="A102" s="4" t="s">
        <v>160</v>
      </c>
      <c r="C102" s="6">
        <f t="shared" ref="C102:J102" si="42">C96/(((1+C16)*(1+C16+(C104-C16)*1/5)*(1+C16+(C104-C16)*2/5)*(1+C16+(C104-C16)*3/5)*(1+C16+(C104-C16)*4/5))*(1+C104)^4)</f>
        <v>16.9601545800436</v>
      </c>
      <c r="D102" s="6">
        <f t="shared" si="42"/>
        <v>5.8910164265222109</v>
      </c>
      <c r="E102" s="6">
        <f t="shared" si="42"/>
        <v>1.0349871648919626</v>
      </c>
      <c r="F102" s="6">
        <f t="shared" si="42"/>
        <v>0</v>
      </c>
      <c r="G102" s="6">
        <f t="shared" si="42"/>
        <v>0</v>
      </c>
      <c r="H102" s="6">
        <f t="shared" si="42"/>
        <v>0</v>
      </c>
      <c r="I102" s="6">
        <f t="shared" si="42"/>
        <v>0</v>
      </c>
      <c r="J102" s="6">
        <f t="shared" si="42"/>
        <v>0</v>
      </c>
    </row>
    <row r="103" spans="1:11" x14ac:dyDescent="0.4">
      <c r="A103" s="4" t="s">
        <v>161</v>
      </c>
      <c r="C103" s="6">
        <f t="shared" ref="C103:J103" si="43">C97/(((1+C16)*(1+C16+(C104-C16)*1/5)*(1+C16+(C104-C16)*2/5)*(1+C16+(C104-C16)*3/5)*(1+C16+(C104-C16)*4/5))*(1+C104)^5)</f>
        <v>15.789193015755268</v>
      </c>
      <c r="D103" s="6">
        <f t="shared" si="43"/>
        <v>5.4305218236803547</v>
      </c>
      <c r="E103" s="6">
        <f t="shared" si="43"/>
        <v>0.96352966821051911</v>
      </c>
      <c r="F103" s="6">
        <f t="shared" si="43"/>
        <v>0</v>
      </c>
      <c r="G103" s="6">
        <f t="shared" si="43"/>
        <v>0</v>
      </c>
      <c r="H103" s="6">
        <f t="shared" si="43"/>
        <v>0</v>
      </c>
      <c r="I103" s="6">
        <f t="shared" si="43"/>
        <v>0</v>
      </c>
      <c r="J103" s="6">
        <f t="shared" si="43"/>
        <v>0</v>
      </c>
    </row>
    <row r="104" spans="1:11" x14ac:dyDescent="0.4">
      <c r="A104" s="4" t="s">
        <v>162</v>
      </c>
      <c r="C104" s="11">
        <f>MAX((Inputs!B18+((1+(1-Inputs!B22)*(Inputs!B36/(1-Inputs!B36)))/(1+(1-Inputs!B22)*0.25))*Inputs!B19+IF(ISBLANK(C17),Inputs!B24,C17)+Inputs!B25+Inputs!B39)*(1-Inputs!B36)+Inputs!B38*Inputs!B36,C15)</f>
        <v>9.5645461701702128E-2</v>
      </c>
      <c r="D104" s="11">
        <f>MAX((Inputs!B18+((1+(1-Inputs!B22)*(Inputs!B36/(1-Inputs!B36)))/(1+(1-Inputs!B22)*0.25))*Inputs!B19+IF(ISBLANK(D17),Inputs!B24,D17)+Inputs!B25+Inputs!B39)*(1-Inputs!B36)+Inputs!B38*Inputs!B36,D15)</f>
        <v>9.5645461701702128E-2</v>
      </c>
      <c r="E104" s="11">
        <f>MAX((Inputs!B18+((1+(1-Inputs!B22)*(Inputs!B36/(1-Inputs!B36)))/(1+(1-Inputs!B22)*0.25))*Inputs!B19+IF(ISBLANK(E17),Inputs!B24,E17)+Inputs!B25+Inputs!B39)*(1-Inputs!B36)+Inputs!B38*Inputs!B36,E15)</f>
        <v>9.5645461701702128E-2</v>
      </c>
      <c r="F104" s="11">
        <f>MAX((Inputs!B18+((1+(1-Inputs!B22)*(Inputs!B36/(1-Inputs!B36)))/(1+(1-Inputs!B22)*0.25))*Inputs!B19+IF(ISBLANK(F17),Inputs!B24,F17)+Inputs!B25+Inputs!B39)*(1-Inputs!B36)+Inputs!B38*Inputs!B36,F15)</f>
        <v>9.5645461701702128E-2</v>
      </c>
      <c r="G104" s="11">
        <f>MAX((Inputs!B18+((1+(1-Inputs!B22)*(Inputs!B36/(1-Inputs!B36)))/(1+(1-Inputs!B22)*0.25))*Inputs!B19+IF(ISBLANK(G17),Inputs!B24,G17)+Inputs!B25+Inputs!B39)*(1-Inputs!B36)+Inputs!B38*Inputs!B36,G15)</f>
        <v>9.5645461701702128E-2</v>
      </c>
      <c r="H104" s="11">
        <f>MAX((Inputs!B18+((1+(1-Inputs!B22)*(Inputs!B36/(1-Inputs!B36)))/(1+(1-Inputs!B22)*0.25))*Inputs!B19+IF(ISBLANK(H17),Inputs!B24,H17)+Inputs!B25+Inputs!B39)*(1-Inputs!B36)+Inputs!B38*Inputs!B36,H15)</f>
        <v>9.5645461701702128E-2</v>
      </c>
      <c r="I104" s="11">
        <f>MAX((Inputs!B18+((1+(1-Inputs!B22)*(Inputs!B36/(1-Inputs!B36)))/(1+(1-Inputs!B22)*0.25))*Inputs!B19+IF(ISBLANK(I17),Inputs!B24,I17)+Inputs!B25+Inputs!B39)*(1-Inputs!B36)+Inputs!B38*Inputs!B36,I15)</f>
        <v>9.5645461701702128E-2</v>
      </c>
      <c r="J104" s="11">
        <f>MAX((Inputs!B18+((1+(1-Inputs!B22)*(Inputs!B36/(1-Inputs!B36)))/(1+(1-Inputs!B22)*0.25))*Inputs!B19+IF(ISBLANK(J17),Inputs!B24,J17)+Inputs!B25+Inputs!B39)*(1-Inputs!B36)+Inputs!B38*Inputs!B36,J15)</f>
        <v>9.5645461701702128E-2</v>
      </c>
    </row>
    <row r="105" spans="1:11" x14ac:dyDescent="0.4">
      <c r="A105" s="4" t="s">
        <v>163</v>
      </c>
      <c r="C105" s="6">
        <f t="shared" ref="C105:J105" si="44">SUM(C57:C61,C99:C103)</f>
        <v>195.47055358463354</v>
      </c>
      <c r="D105" s="6">
        <f t="shared" si="44"/>
        <v>86.651903595700617</v>
      </c>
      <c r="E105" s="6">
        <f t="shared" si="44"/>
        <v>43.024242943193677</v>
      </c>
      <c r="F105" s="6">
        <f t="shared" si="44"/>
        <v>0</v>
      </c>
      <c r="G105" s="6">
        <f t="shared" si="44"/>
        <v>0</v>
      </c>
      <c r="H105" s="6">
        <f t="shared" si="44"/>
        <v>0</v>
      </c>
      <c r="I105" s="6">
        <f t="shared" si="44"/>
        <v>0</v>
      </c>
      <c r="J105" s="6">
        <f t="shared" si="44"/>
        <v>0</v>
      </c>
    </row>
    <row r="106" spans="1:11" x14ac:dyDescent="0.4">
      <c r="A106" s="4" t="s">
        <v>164</v>
      </c>
      <c r="C106" s="6">
        <f t="shared" ref="C106:J106" si="45">IF(C5=0,0,C97*(1+C13)/(C104-C13))</f>
        <v>536.07841221004264</v>
      </c>
      <c r="D106" s="6">
        <f t="shared" si="45"/>
        <v>162.02317237377332</v>
      </c>
      <c r="E106" s="6">
        <f t="shared" si="45"/>
        <v>32.713986974264401</v>
      </c>
      <c r="F106" s="6">
        <f t="shared" si="45"/>
        <v>0</v>
      </c>
      <c r="G106" s="6">
        <f t="shared" si="45"/>
        <v>0</v>
      </c>
      <c r="H106" s="6">
        <f t="shared" si="45"/>
        <v>0</v>
      </c>
      <c r="I106" s="6">
        <f t="shared" si="45"/>
        <v>0</v>
      </c>
      <c r="J106" s="6">
        <f t="shared" si="45"/>
        <v>0</v>
      </c>
    </row>
    <row r="107" spans="1:11" x14ac:dyDescent="0.4">
      <c r="A107" s="4" t="s">
        <v>165</v>
      </c>
      <c r="C107" s="6">
        <f t="shared" ref="C107:J107" si="46">C106/(((1+C16)*(1+C16+(C104-C16)*1/5)*(1+C16+(C104-C16)*2/5)*(1+C16+(C104-C16)*3/5)*(1+C16+(C104-C16)*4/5))*(1+C104)^5)</f>
        <v>212.90076778932516</v>
      </c>
      <c r="D107" s="6">
        <f t="shared" si="46"/>
        <v>64.041070395772678</v>
      </c>
      <c r="E107" s="6">
        <f t="shared" si="46"/>
        <v>12.99219066770023</v>
      </c>
      <c r="F107" s="6">
        <f t="shared" si="46"/>
        <v>0</v>
      </c>
      <c r="G107" s="6">
        <f t="shared" si="46"/>
        <v>0</v>
      </c>
      <c r="H107" s="6">
        <f t="shared" si="46"/>
        <v>0</v>
      </c>
      <c r="I107" s="6">
        <f t="shared" si="46"/>
        <v>0</v>
      </c>
      <c r="J107" s="6">
        <f t="shared" si="46"/>
        <v>0</v>
      </c>
    </row>
    <row r="109" spans="1:11" x14ac:dyDescent="0.4">
      <c r="A109" s="19" t="s">
        <v>166</v>
      </c>
      <c r="C109" s="20">
        <f t="shared" ref="C109:J109" si="47">C105+C107</f>
        <v>408.37132137395872</v>
      </c>
      <c r="D109" s="20">
        <f t="shared" si="47"/>
        <v>150.69297399147331</v>
      </c>
      <c r="E109" s="20">
        <f t="shared" si="47"/>
        <v>56.016433610893905</v>
      </c>
      <c r="F109" s="20">
        <f t="shared" si="47"/>
        <v>0</v>
      </c>
      <c r="G109" s="20">
        <f t="shared" si="47"/>
        <v>0</v>
      </c>
      <c r="H109" s="20">
        <f t="shared" si="47"/>
        <v>0</v>
      </c>
      <c r="I109" s="20">
        <f t="shared" si="47"/>
        <v>0</v>
      </c>
      <c r="J109" s="20">
        <f t="shared" si="47"/>
        <v>0</v>
      </c>
      <c r="K109" s="20">
        <f>SUM(C109:J109)</f>
        <v>615.08072897632599</v>
      </c>
    </row>
    <row r="110" spans="1:11" x14ac:dyDescent="0.4">
      <c r="A110" s="4" t="s">
        <v>167</v>
      </c>
      <c r="K110" s="11">
        <f>IFERROR(SUMPRODUCT(C109:J109,C16:J16)/SUM(C109:J109),0)</f>
        <v>9.9735820432361455E-2</v>
      </c>
    </row>
    <row r="111" spans="1:11" x14ac:dyDescent="0.4">
      <c r="A111" s="4" t="s">
        <v>168</v>
      </c>
      <c r="K111" s="5">
        <v>98.1</v>
      </c>
    </row>
    <row r="112" spans="1:11" x14ac:dyDescent="0.4">
      <c r="A112" s="4" t="s">
        <v>169</v>
      </c>
      <c r="K112" s="5">
        <v>10</v>
      </c>
    </row>
    <row r="113" spans="1:11" x14ac:dyDescent="0.4">
      <c r="A113" s="4" t="s">
        <v>170</v>
      </c>
      <c r="K113" s="5">
        <v>-101.6036253309582</v>
      </c>
    </row>
    <row r="114" spans="1:11" x14ac:dyDescent="0.4">
      <c r="A114" s="4" t="s">
        <v>171</v>
      </c>
      <c r="K114" s="5">
        <v>0</v>
      </c>
    </row>
    <row r="115" spans="1:11" x14ac:dyDescent="0.4">
      <c r="A115" s="4" t="s">
        <v>172</v>
      </c>
      <c r="K115" s="5">
        <v>0</v>
      </c>
    </row>
    <row r="116" spans="1:11" x14ac:dyDescent="0.4">
      <c r="A116" s="4" t="s">
        <v>173</v>
      </c>
      <c r="K116" s="5">
        <v>-5.75</v>
      </c>
    </row>
    <row r="117" spans="1:11" x14ac:dyDescent="0.4">
      <c r="A117" s="4" t="s">
        <v>174</v>
      </c>
      <c r="K117" s="5">
        <v>0</v>
      </c>
    </row>
    <row r="118" spans="1:11" x14ac:dyDescent="0.4">
      <c r="A118" s="4" t="s">
        <v>175</v>
      </c>
      <c r="K118" s="5">
        <v>0</v>
      </c>
    </row>
    <row r="119" spans="1:11" x14ac:dyDescent="0.4">
      <c r="A119" s="4" t="s">
        <v>176</v>
      </c>
      <c r="K119" s="20">
        <f>K109+K113+K114+K115+K116+K117+K118-K111-K112</f>
        <v>399.62710364536781</v>
      </c>
    </row>
    <row r="120" spans="1:11" x14ac:dyDescent="0.4">
      <c r="A120" s="4" t="s">
        <v>177</v>
      </c>
      <c r="K120" s="6">
        <f>Inputs!B11</f>
        <v>122.3</v>
      </c>
    </row>
    <row r="122" spans="1:11" ht="15.9" customHeight="1" x14ac:dyDescent="0.45">
      <c r="A122" s="4" t="s">
        <v>178</v>
      </c>
      <c r="K122" s="21">
        <f>K119/K120</f>
        <v>3.2675969226931136</v>
      </c>
    </row>
  </sheetData>
  <pageMargins left="0.75" right="0.75" top="1" bottom="1" header="0.5" footer="0.5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122"/>
  <sheetViews>
    <sheetView workbookViewId="0"/>
  </sheetViews>
  <sheetFormatPr baseColWidth="10" defaultColWidth="9.23046875" defaultRowHeight="14.6" x14ac:dyDescent="0.4"/>
  <cols>
    <col min="1" max="1" width="30" customWidth="1"/>
    <col min="2" max="2" width="4" customWidth="1"/>
    <col min="3" max="11" width="14" customWidth="1"/>
  </cols>
  <sheetData>
    <row r="1" spans="1:11" ht="18.45" customHeight="1" x14ac:dyDescent="0.5">
      <c r="A1" s="1" t="s">
        <v>179</v>
      </c>
    </row>
    <row r="2" spans="1:11" x14ac:dyDescent="0.4">
      <c r="A2" s="2" t="s">
        <v>54</v>
      </c>
    </row>
    <row r="3" spans="1:11" x14ac:dyDescent="0.4">
      <c r="C3" s="13" t="s">
        <v>55</v>
      </c>
      <c r="D3" s="13" t="s">
        <v>56</v>
      </c>
      <c r="E3" s="13" t="s">
        <v>57</v>
      </c>
      <c r="F3" s="13" t="s">
        <v>58</v>
      </c>
      <c r="G3" s="13" t="s">
        <v>59</v>
      </c>
      <c r="H3" s="13" t="s">
        <v>60</v>
      </c>
      <c r="I3" s="13" t="s">
        <v>61</v>
      </c>
      <c r="J3" s="13" t="s">
        <v>62</v>
      </c>
      <c r="K3" s="13" t="s">
        <v>63</v>
      </c>
    </row>
    <row r="4" spans="1:11" x14ac:dyDescent="0.4">
      <c r="A4" s="4" t="s">
        <v>64</v>
      </c>
      <c r="C4" s="14" t="s">
        <v>55</v>
      </c>
      <c r="D4" s="14" t="s">
        <v>56</v>
      </c>
      <c r="E4" s="14" t="s">
        <v>57</v>
      </c>
      <c r="F4" s="14"/>
      <c r="G4" s="14"/>
      <c r="H4" s="14"/>
      <c r="I4" s="14"/>
      <c r="J4" s="14"/>
    </row>
    <row r="5" spans="1:11" x14ac:dyDescent="0.4">
      <c r="A5" s="4" t="s">
        <v>65</v>
      </c>
      <c r="C5" s="5">
        <v>442.3</v>
      </c>
      <c r="D5" s="5">
        <v>130.9</v>
      </c>
      <c r="E5" s="5">
        <v>257.7</v>
      </c>
      <c r="F5" s="5"/>
      <c r="G5" s="5"/>
      <c r="H5" s="5"/>
      <c r="I5" s="5"/>
      <c r="J5" s="5"/>
    </row>
    <row r="6" spans="1:11" x14ac:dyDescent="0.4">
      <c r="A6" s="4" t="s">
        <v>66</v>
      </c>
      <c r="C6" s="7">
        <v>0.05</v>
      </c>
      <c r="D6" s="7">
        <v>-1.5201026993181609E-2</v>
      </c>
      <c r="E6" s="7">
        <v>-0.2352010269931816</v>
      </c>
      <c r="F6" s="7"/>
      <c r="G6" s="7"/>
      <c r="H6" s="7"/>
      <c r="I6" s="7"/>
      <c r="J6" s="7"/>
    </row>
    <row r="7" spans="1:11" x14ac:dyDescent="0.4">
      <c r="A7" s="4" t="s">
        <v>67</v>
      </c>
      <c r="C7" s="7">
        <v>0.1203696680116887</v>
      </c>
      <c r="D7" s="7">
        <v>0.18536966801168869</v>
      </c>
      <c r="E7" s="7">
        <v>0.14536966801168871</v>
      </c>
      <c r="F7" s="7"/>
      <c r="G7" s="7"/>
      <c r="H7" s="7"/>
      <c r="I7" s="7"/>
      <c r="J7" s="7"/>
    </row>
    <row r="8" spans="1:11" x14ac:dyDescent="0.4">
      <c r="A8" s="4" t="s">
        <v>68</v>
      </c>
      <c r="C8" s="15">
        <v>9.7000000000000003E-2</v>
      </c>
      <c r="D8" s="15">
        <v>0.14499999999999999</v>
      </c>
      <c r="E8" s="15">
        <v>0.126</v>
      </c>
      <c r="F8" s="15"/>
      <c r="G8" s="15"/>
      <c r="H8" s="15"/>
      <c r="I8" s="15"/>
      <c r="J8" s="15"/>
    </row>
    <row r="9" spans="1:11" x14ac:dyDescent="0.4">
      <c r="A9" s="4" t="s">
        <v>69</v>
      </c>
      <c r="C9" s="7">
        <v>0.14499999999999999</v>
      </c>
      <c r="D9" s="7">
        <v>0.20536966801168871</v>
      </c>
      <c r="E9" s="7">
        <v>0.14000000000000001</v>
      </c>
      <c r="F9" s="7"/>
      <c r="G9" s="7"/>
      <c r="H9" s="7"/>
      <c r="I9" s="7"/>
      <c r="J9" s="7"/>
    </row>
    <row r="10" spans="1:11" x14ac:dyDescent="0.4">
      <c r="A10" s="4" t="s">
        <v>70</v>
      </c>
      <c r="C10" s="7">
        <v>9.8000000000000004E-2</v>
      </c>
      <c r="D10" s="7">
        <v>8.9999999999999993E-3</v>
      </c>
      <c r="E10" s="7">
        <v>0.03</v>
      </c>
      <c r="F10" s="7"/>
      <c r="G10" s="7"/>
      <c r="H10" s="7"/>
      <c r="I10" s="7"/>
      <c r="J10" s="7"/>
    </row>
    <row r="11" spans="1:11" x14ac:dyDescent="0.4">
      <c r="A11" s="4" t="s">
        <v>71</v>
      </c>
      <c r="C11" s="7">
        <v>7.4999999999999997E-2</v>
      </c>
      <c r="D11" s="7">
        <v>1.4E-2</v>
      </c>
      <c r="E11" s="7">
        <v>3.5000000000000003E-2</v>
      </c>
      <c r="F11" s="7"/>
      <c r="G11" s="7"/>
      <c r="H11" s="7"/>
      <c r="I11" s="7"/>
      <c r="J11" s="7"/>
    </row>
    <row r="12" spans="1:11" x14ac:dyDescent="0.4">
      <c r="A12" s="4" t="s">
        <v>72</v>
      </c>
      <c r="C12" s="7">
        <v>2.3E-2</v>
      </c>
      <c r="D12" s="7">
        <v>0</v>
      </c>
      <c r="E12" s="7">
        <v>0</v>
      </c>
      <c r="F12" s="7"/>
      <c r="G12" s="7"/>
      <c r="H12" s="7"/>
      <c r="I12" s="7"/>
      <c r="J12" s="7"/>
    </row>
    <row r="13" spans="1:11" x14ac:dyDescent="0.4">
      <c r="A13" s="4" t="s">
        <v>73</v>
      </c>
      <c r="C13" s="7">
        <v>2.4228278001948111E-2</v>
      </c>
      <c r="D13" s="7">
        <v>1.4228278001948111E-2</v>
      </c>
      <c r="E13" s="7">
        <v>2.4228278001948111E-2</v>
      </c>
      <c r="F13" s="7"/>
      <c r="G13" s="7"/>
      <c r="H13" s="7"/>
      <c r="I13" s="7"/>
      <c r="J13" s="7"/>
    </row>
    <row r="14" spans="1:11" x14ac:dyDescent="0.4">
      <c r="A14" s="4" t="s">
        <v>74</v>
      </c>
      <c r="C14" s="9">
        <v>1.0149999999999999</v>
      </c>
      <c r="D14" s="9">
        <v>1.06575</v>
      </c>
      <c r="E14" s="9">
        <v>1.0149999999999999</v>
      </c>
      <c r="F14" s="9"/>
      <c r="G14" s="9"/>
      <c r="H14" s="9"/>
      <c r="I14" s="9"/>
      <c r="J14" s="9"/>
    </row>
    <row r="15" spans="1:11" x14ac:dyDescent="0.4">
      <c r="A15" s="4" t="s">
        <v>75</v>
      </c>
      <c r="C15" s="7">
        <v>0</v>
      </c>
      <c r="D15" s="7">
        <v>0</v>
      </c>
      <c r="E15" s="7">
        <v>0</v>
      </c>
      <c r="F15" s="7"/>
      <c r="G15" s="7"/>
      <c r="H15" s="7"/>
      <c r="I15" s="7"/>
      <c r="J15" s="7"/>
    </row>
    <row r="16" spans="1:11" x14ac:dyDescent="0.4">
      <c r="A16" s="4" t="s">
        <v>76</v>
      </c>
      <c r="C16" s="11">
        <f>MAX((MAX(Inputs!B18+((1-0.33)*C14*(1+(1-Inputs!B22)*Inputs!B21)+0.33)*Inputs!B19+IF(ISBLANK(C17),Inputs!B24,C17)+Inputs!B25+Inputs!B39,MIN(Inputs!B27,0.08)+0.025))*Inputs!B29+Inputs!B28*Inputs!B30,C15)</f>
        <v>9.9308574608679395E-2</v>
      </c>
      <c r="D16" s="11">
        <f>MAX((MAX(Inputs!B18+((1-0.33)*D14*(1+(1-Inputs!B22)*Inputs!B21)+0.33)*Inputs!B19+IF(ISBLANK(D17),Inputs!B24,D17)+Inputs!B25+Inputs!B39,MIN(Inputs!B27,0.08)+0.025))*Inputs!B29+Inputs!B28*Inputs!B30,D15)</f>
        <v>0.10105245599692068</v>
      </c>
      <c r="E16" s="11">
        <f>MAX((MAX(Inputs!B18+((1-0.33)*E14*(1+(1-Inputs!B22)*Inputs!B21)+0.33)*Inputs!B19+IF(ISBLANK(E17),Inputs!B24,E17)+Inputs!B25+Inputs!B39,MIN(Inputs!B27,0.08)+0.025))*Inputs!B29+Inputs!B28*Inputs!B30,E15)</f>
        <v>9.9308574608679395E-2</v>
      </c>
      <c r="F16" s="11">
        <f>MAX((MAX(Inputs!B18+((1-0.33)*F14*(1+(1-Inputs!B22)*Inputs!B21)+0.33)*Inputs!B19+IF(ISBLANK(F17),Inputs!B24,F17)+Inputs!B25+Inputs!B39,MIN(Inputs!B27,0.08)+0.025))*Inputs!B29+Inputs!B28*Inputs!B30,F15)</f>
        <v>6.7873421926910302E-2</v>
      </c>
      <c r="G16" s="11">
        <f>MAX((MAX(Inputs!B18+((1-0.33)*G14*(1+(1-Inputs!B22)*Inputs!B21)+0.33)*Inputs!B19+IF(ISBLANK(G17),Inputs!B24,G17)+Inputs!B25+Inputs!B39,MIN(Inputs!B27,0.08)+0.025))*Inputs!B29+Inputs!B28*Inputs!B30,G15)</f>
        <v>6.7873421926910302E-2</v>
      </c>
      <c r="H16" s="11">
        <f>MAX((MAX(Inputs!B18+((1-0.33)*H14*(1+(1-Inputs!B22)*Inputs!B21)+0.33)*Inputs!B19+IF(ISBLANK(H17),Inputs!B24,H17)+Inputs!B25+Inputs!B39,MIN(Inputs!B27,0.08)+0.025))*Inputs!B29+Inputs!B28*Inputs!B30,H15)</f>
        <v>6.7873421926910302E-2</v>
      </c>
      <c r="I16" s="11">
        <f>MAX((MAX(Inputs!B18+((1-0.33)*I14*(1+(1-Inputs!B22)*Inputs!B21)+0.33)*Inputs!B19+IF(ISBLANK(I17),Inputs!B24,I17)+Inputs!B25+Inputs!B39,MIN(Inputs!B27,0.08)+0.025))*Inputs!B29+Inputs!B28*Inputs!B30,I15)</f>
        <v>6.7873421926910302E-2</v>
      </c>
      <c r="J16" s="11">
        <f>MAX((MAX(Inputs!B18+((1-0.33)*J14*(1+(1-Inputs!B22)*Inputs!B21)+0.33)*Inputs!B19+IF(ISBLANK(J17),Inputs!B24,J17)+Inputs!B25+Inputs!B39,MIN(Inputs!B27,0.08)+0.025))*Inputs!B29+Inputs!B28*Inputs!B30,J15)</f>
        <v>6.7873421926910302E-2</v>
      </c>
    </row>
    <row r="17" spans="1:10" x14ac:dyDescent="0.4">
      <c r="A17" s="16" t="s">
        <v>77</v>
      </c>
      <c r="C17" s="7"/>
      <c r="D17" s="7"/>
      <c r="E17" s="7"/>
      <c r="F17" s="7"/>
      <c r="G17" s="7"/>
      <c r="H17" s="7"/>
      <c r="I17" s="7"/>
      <c r="J17" s="7"/>
    </row>
    <row r="18" spans="1:10" ht="40" customHeight="1" x14ac:dyDescent="0.4">
      <c r="A18" s="17" t="s">
        <v>78</v>
      </c>
      <c r="C18" s="18" t="s">
        <v>79</v>
      </c>
      <c r="D18" s="18" t="s">
        <v>80</v>
      </c>
      <c r="E18" s="18" t="s">
        <v>81</v>
      </c>
      <c r="F18" s="18"/>
      <c r="G18" s="18"/>
      <c r="H18" s="18"/>
      <c r="I18" s="18"/>
      <c r="J18" s="18"/>
    </row>
    <row r="19" spans="1:10" ht="40" customHeight="1" x14ac:dyDescent="0.4">
      <c r="A19" s="17" t="s">
        <v>82</v>
      </c>
      <c r="C19" s="18" t="s">
        <v>83</v>
      </c>
      <c r="D19" s="18" t="s">
        <v>84</v>
      </c>
      <c r="E19" s="18" t="s">
        <v>85</v>
      </c>
      <c r="F19" s="18"/>
      <c r="G19" s="18"/>
      <c r="H19" s="18"/>
      <c r="I19" s="18"/>
      <c r="J19" s="18"/>
    </row>
    <row r="20" spans="1:10" ht="28" customHeight="1" x14ac:dyDescent="0.4">
      <c r="A20" s="17" t="s">
        <v>86</v>
      </c>
      <c r="C20" s="18" t="s">
        <v>87</v>
      </c>
      <c r="D20" s="18" t="s">
        <v>88</v>
      </c>
      <c r="E20" s="18" t="s">
        <v>89</v>
      </c>
      <c r="F20" s="18"/>
      <c r="G20" s="18"/>
      <c r="H20" s="18"/>
      <c r="I20" s="18"/>
      <c r="J20" s="18"/>
    </row>
    <row r="21" spans="1:10" x14ac:dyDescent="0.4">
      <c r="A21" s="4" t="s">
        <v>90</v>
      </c>
      <c r="C21" s="6">
        <f t="shared" ref="C21:J21" si="0">C5*(1+C6)^1</f>
        <v>464.41500000000002</v>
      </c>
      <c r="D21" s="6">
        <f t="shared" si="0"/>
        <v>128.91018556659253</v>
      </c>
      <c r="E21" s="6">
        <f t="shared" si="0"/>
        <v>197.0886953438571</v>
      </c>
      <c r="F21" s="6">
        <f t="shared" si="0"/>
        <v>0</v>
      </c>
      <c r="G21" s="6">
        <f t="shared" si="0"/>
        <v>0</v>
      </c>
      <c r="H21" s="6">
        <f t="shared" si="0"/>
        <v>0</v>
      </c>
      <c r="I21" s="6">
        <f t="shared" si="0"/>
        <v>0</v>
      </c>
      <c r="J21" s="6">
        <f t="shared" si="0"/>
        <v>0</v>
      </c>
    </row>
    <row r="22" spans="1:10" x14ac:dyDescent="0.4">
      <c r="A22" s="4" t="s">
        <v>91</v>
      </c>
      <c r="C22" s="6">
        <f t="shared" ref="C22:J22" si="1">C5*(1+C6)^2</f>
        <v>487.63575000000003</v>
      </c>
      <c r="D22" s="6">
        <f t="shared" si="1"/>
        <v>126.95061835609872</v>
      </c>
      <c r="E22" s="6">
        <f t="shared" si="1"/>
        <v>150.73323179023561</v>
      </c>
      <c r="F22" s="6">
        <f t="shared" si="1"/>
        <v>0</v>
      </c>
      <c r="G22" s="6">
        <f t="shared" si="1"/>
        <v>0</v>
      </c>
      <c r="H22" s="6">
        <f t="shared" si="1"/>
        <v>0</v>
      </c>
      <c r="I22" s="6">
        <f t="shared" si="1"/>
        <v>0</v>
      </c>
      <c r="J22" s="6">
        <f t="shared" si="1"/>
        <v>0</v>
      </c>
    </row>
    <row r="23" spans="1:10" x14ac:dyDescent="0.4">
      <c r="A23" s="4" t="s">
        <v>92</v>
      </c>
      <c r="C23" s="6">
        <f t="shared" ref="C23:J23" si="2">C5*(1+C6)^3</f>
        <v>512.01753750000012</v>
      </c>
      <c r="D23" s="6">
        <f t="shared" si="2"/>
        <v>125.02083857966656</v>
      </c>
      <c r="E23" s="6">
        <f t="shared" si="2"/>
        <v>115.28062087117091</v>
      </c>
      <c r="F23" s="6">
        <f t="shared" si="2"/>
        <v>0</v>
      </c>
      <c r="G23" s="6">
        <f t="shared" si="2"/>
        <v>0</v>
      </c>
      <c r="H23" s="6">
        <f t="shared" si="2"/>
        <v>0</v>
      </c>
      <c r="I23" s="6">
        <f t="shared" si="2"/>
        <v>0</v>
      </c>
      <c r="J23" s="6">
        <f t="shared" si="2"/>
        <v>0</v>
      </c>
    </row>
    <row r="24" spans="1:10" x14ac:dyDescent="0.4">
      <c r="A24" s="4" t="s">
        <v>93</v>
      </c>
      <c r="C24" s="6">
        <f t="shared" ref="C24:J24" si="3">C5*(1+C6)^4</f>
        <v>537.61841437500004</v>
      </c>
      <c r="D24" s="6">
        <f t="shared" si="3"/>
        <v>123.12039343770685</v>
      </c>
      <c r="E24" s="6">
        <f t="shared" si="3"/>
        <v>88.16650044985991</v>
      </c>
      <c r="F24" s="6">
        <f t="shared" si="3"/>
        <v>0</v>
      </c>
      <c r="G24" s="6">
        <f t="shared" si="3"/>
        <v>0</v>
      </c>
      <c r="H24" s="6">
        <f t="shared" si="3"/>
        <v>0</v>
      </c>
      <c r="I24" s="6">
        <f t="shared" si="3"/>
        <v>0</v>
      </c>
      <c r="J24" s="6">
        <f t="shared" si="3"/>
        <v>0</v>
      </c>
    </row>
    <row r="25" spans="1:10" x14ac:dyDescent="0.4">
      <c r="A25" s="4" t="s">
        <v>94</v>
      </c>
      <c r="C25" s="6">
        <f t="shared" ref="C25:J25" si="4">C5*(1+C6)^5</f>
        <v>564.49933509375012</v>
      </c>
      <c r="D25" s="6">
        <f t="shared" si="4"/>
        <v>121.24883701364914</v>
      </c>
      <c r="E25" s="6">
        <f t="shared" si="4"/>
        <v>67.429648997658049</v>
      </c>
      <c r="F25" s="6">
        <f t="shared" si="4"/>
        <v>0</v>
      </c>
      <c r="G25" s="6">
        <f t="shared" si="4"/>
        <v>0</v>
      </c>
      <c r="H25" s="6">
        <f t="shared" si="4"/>
        <v>0</v>
      </c>
      <c r="I25" s="6">
        <f t="shared" si="4"/>
        <v>0</v>
      </c>
      <c r="J25" s="6">
        <f t="shared" si="4"/>
        <v>0</v>
      </c>
    </row>
    <row r="26" spans="1:10" x14ac:dyDescent="0.4">
      <c r="A26" s="4" t="s">
        <v>95</v>
      </c>
      <c r="C26" s="7">
        <v>5.0000000000000001E-3</v>
      </c>
      <c r="D26" s="7"/>
      <c r="E26" s="7">
        <v>0.02</v>
      </c>
      <c r="F26" s="7"/>
      <c r="G26" s="7"/>
      <c r="H26" s="7"/>
      <c r="I26" s="7"/>
      <c r="J26" s="7"/>
    </row>
    <row r="27" spans="1:10" x14ac:dyDescent="0.4">
      <c r="A27" s="4" t="s">
        <v>96</v>
      </c>
      <c r="C27" s="11">
        <f t="shared" ref="C27:J27" si="5">IF(ISBLANK(C9),C7,C7+(C9-C7)*(0)/4)</f>
        <v>0.1203696680116887</v>
      </c>
      <c r="D27" s="11">
        <f t="shared" si="5"/>
        <v>0.18536966801168869</v>
      </c>
      <c r="E27" s="11">
        <f t="shared" si="5"/>
        <v>0.14536966801168871</v>
      </c>
      <c r="F27" s="11">
        <f t="shared" si="5"/>
        <v>0</v>
      </c>
      <c r="G27" s="11">
        <f t="shared" si="5"/>
        <v>0</v>
      </c>
      <c r="H27" s="11">
        <f t="shared" si="5"/>
        <v>0</v>
      </c>
      <c r="I27" s="11">
        <f t="shared" si="5"/>
        <v>0</v>
      </c>
      <c r="J27" s="11">
        <f t="shared" si="5"/>
        <v>0</v>
      </c>
    </row>
    <row r="28" spans="1:10" x14ac:dyDescent="0.4">
      <c r="A28" s="4" t="s">
        <v>97</v>
      </c>
      <c r="C28" s="11">
        <f t="shared" ref="C28:J28" si="6">IF(ISBLANK(C9),C7,C7+(C9-C7)*(1)/4)</f>
        <v>0.12652725100876652</v>
      </c>
      <c r="D28" s="11">
        <f t="shared" si="6"/>
        <v>0.1903696680116887</v>
      </c>
      <c r="E28" s="11">
        <f t="shared" si="6"/>
        <v>0.14402725100876654</v>
      </c>
      <c r="F28" s="11">
        <f t="shared" si="6"/>
        <v>0</v>
      </c>
      <c r="G28" s="11">
        <f t="shared" si="6"/>
        <v>0</v>
      </c>
      <c r="H28" s="11">
        <f t="shared" si="6"/>
        <v>0</v>
      </c>
      <c r="I28" s="11">
        <f t="shared" si="6"/>
        <v>0</v>
      </c>
      <c r="J28" s="11">
        <f t="shared" si="6"/>
        <v>0</v>
      </c>
    </row>
    <row r="29" spans="1:10" x14ac:dyDescent="0.4">
      <c r="A29" s="4" t="s">
        <v>98</v>
      </c>
      <c r="C29" s="11">
        <f t="shared" ref="C29:J29" si="7">IF(ISBLANK(C9),C7,C7+(C9-C7)*(2)/4)</f>
        <v>0.13268483400584435</v>
      </c>
      <c r="D29" s="11">
        <f t="shared" si="7"/>
        <v>0.1953696680116887</v>
      </c>
      <c r="E29" s="11">
        <f t="shared" si="7"/>
        <v>0.14268483400584436</v>
      </c>
      <c r="F29" s="11">
        <f t="shared" si="7"/>
        <v>0</v>
      </c>
      <c r="G29" s="11">
        <f t="shared" si="7"/>
        <v>0</v>
      </c>
      <c r="H29" s="11">
        <f t="shared" si="7"/>
        <v>0</v>
      </c>
      <c r="I29" s="11">
        <f t="shared" si="7"/>
        <v>0</v>
      </c>
      <c r="J29" s="11">
        <f t="shared" si="7"/>
        <v>0</v>
      </c>
    </row>
    <row r="30" spans="1:10" x14ac:dyDescent="0.4">
      <c r="A30" s="4" t="s">
        <v>99</v>
      </c>
      <c r="C30" s="11">
        <f t="shared" ref="C30:J30" si="8">IF(ISBLANK(C9),C7,C7+(C9-C7)*(3)/4)</f>
        <v>0.13884241700292216</v>
      </c>
      <c r="D30" s="11">
        <f t="shared" si="8"/>
        <v>0.20036966801168871</v>
      </c>
      <c r="E30" s="11">
        <f t="shared" si="8"/>
        <v>0.14134241700292219</v>
      </c>
      <c r="F30" s="11">
        <f t="shared" si="8"/>
        <v>0</v>
      </c>
      <c r="G30" s="11">
        <f t="shared" si="8"/>
        <v>0</v>
      </c>
      <c r="H30" s="11">
        <f t="shared" si="8"/>
        <v>0</v>
      </c>
      <c r="I30" s="11">
        <f t="shared" si="8"/>
        <v>0</v>
      </c>
      <c r="J30" s="11">
        <f t="shared" si="8"/>
        <v>0</v>
      </c>
    </row>
    <row r="31" spans="1:10" x14ac:dyDescent="0.4">
      <c r="A31" s="4" t="s">
        <v>100</v>
      </c>
      <c r="C31" s="11">
        <f t="shared" ref="C31:J31" si="9">IF(ISBLANK(C9),C7,C7+(C9-C7)*(4)/4)</f>
        <v>0.14499999999999999</v>
      </c>
      <c r="D31" s="11">
        <f t="shared" si="9"/>
        <v>0.20536966801168871</v>
      </c>
      <c r="E31" s="11">
        <f t="shared" si="9"/>
        <v>0.14000000000000001</v>
      </c>
      <c r="F31" s="11">
        <f t="shared" si="9"/>
        <v>0</v>
      </c>
      <c r="G31" s="11">
        <f t="shared" si="9"/>
        <v>0</v>
      </c>
      <c r="H31" s="11">
        <f t="shared" si="9"/>
        <v>0</v>
      </c>
      <c r="I31" s="11">
        <f t="shared" si="9"/>
        <v>0</v>
      </c>
      <c r="J31" s="11">
        <f t="shared" si="9"/>
        <v>0</v>
      </c>
    </row>
    <row r="33" spans="1:10" x14ac:dyDescent="0.4">
      <c r="A33" s="4" t="s">
        <v>101</v>
      </c>
      <c r="C33" s="6">
        <f t="shared" ref="C33:J37" si="10">C21*C27</f>
        <v>55.901479369648413</v>
      </c>
      <c r="D33" s="6">
        <f t="shared" si="10"/>
        <v>23.896038301804442</v>
      </c>
      <c r="E33" s="6">
        <f t="shared" si="10"/>
        <v>28.650718210993364</v>
      </c>
      <c r="F33" s="6">
        <f t="shared" si="10"/>
        <v>0</v>
      </c>
      <c r="G33" s="6">
        <f t="shared" si="10"/>
        <v>0</v>
      </c>
      <c r="H33" s="6">
        <f t="shared" si="10"/>
        <v>0</v>
      </c>
      <c r="I33" s="6">
        <f t="shared" si="10"/>
        <v>0</v>
      </c>
      <c r="J33" s="6">
        <f t="shared" si="10"/>
        <v>0</v>
      </c>
    </row>
    <row r="34" spans="1:10" x14ac:dyDescent="0.4">
      <c r="A34" s="4" t="s">
        <v>102</v>
      </c>
      <c r="C34" s="6">
        <f t="shared" si="10"/>
        <v>61.699210941098123</v>
      </c>
      <c r="D34" s="6">
        <f t="shared" si="10"/>
        <v>24.167547070329107</v>
      </c>
      <c r="E34" s="6">
        <f t="shared" si="10"/>
        <v>21.709693010414853</v>
      </c>
      <c r="F34" s="6">
        <f t="shared" si="10"/>
        <v>0</v>
      </c>
      <c r="G34" s="6">
        <f t="shared" si="10"/>
        <v>0</v>
      </c>
      <c r="H34" s="6">
        <f t="shared" si="10"/>
        <v>0</v>
      </c>
      <c r="I34" s="6">
        <f t="shared" si="10"/>
        <v>0</v>
      </c>
      <c r="J34" s="6">
        <f t="shared" si="10"/>
        <v>0</v>
      </c>
    </row>
    <row r="35" spans="1:10" x14ac:dyDescent="0.4">
      <c r="A35" s="4" t="s">
        <v>103</v>
      </c>
      <c r="C35" s="6">
        <f t="shared" si="10"/>
        <v>67.936961971268701</v>
      </c>
      <c r="D35" s="6">
        <f t="shared" si="10"/>
        <v>24.425279727852377</v>
      </c>
      <c r="E35" s="6">
        <f t="shared" si="10"/>
        <v>16.448796253093697</v>
      </c>
      <c r="F35" s="6">
        <f t="shared" si="10"/>
        <v>0</v>
      </c>
      <c r="G35" s="6">
        <f t="shared" si="10"/>
        <v>0</v>
      </c>
      <c r="H35" s="6">
        <f t="shared" si="10"/>
        <v>0</v>
      </c>
      <c r="I35" s="6">
        <f t="shared" si="10"/>
        <v>0</v>
      </c>
      <c r="J35" s="6">
        <f t="shared" si="10"/>
        <v>0</v>
      </c>
    </row>
    <row r="36" spans="1:10" x14ac:dyDescent="0.4">
      <c r="A36" s="4" t="s">
        <v>104</v>
      </c>
      <c r="C36" s="6">
        <f t="shared" si="10"/>
        <v>74.644240077103561</v>
      </c>
      <c r="D36" s="6">
        <f t="shared" si="10"/>
        <v>24.66959235858182</v>
      </c>
      <c r="E36" s="6">
        <f t="shared" si="10"/>
        <v>12.461666272272426</v>
      </c>
      <c r="F36" s="6">
        <f t="shared" si="10"/>
        <v>0</v>
      </c>
      <c r="G36" s="6">
        <f t="shared" si="10"/>
        <v>0</v>
      </c>
      <c r="H36" s="6">
        <f t="shared" si="10"/>
        <v>0</v>
      </c>
      <c r="I36" s="6">
        <f t="shared" si="10"/>
        <v>0</v>
      </c>
      <c r="J36" s="6">
        <f t="shared" si="10"/>
        <v>0</v>
      </c>
    </row>
    <row r="37" spans="1:10" x14ac:dyDescent="0.4">
      <c r="A37" s="4" t="s">
        <v>105</v>
      </c>
      <c r="C37" s="6">
        <f t="shared" si="10"/>
        <v>81.852403588593759</v>
      </c>
      <c r="D37" s="6">
        <f t="shared" si="10"/>
        <v>24.900833404296478</v>
      </c>
      <c r="E37" s="6">
        <f t="shared" si="10"/>
        <v>9.4401508596721282</v>
      </c>
      <c r="F37" s="6">
        <f t="shared" si="10"/>
        <v>0</v>
      </c>
      <c r="G37" s="6">
        <f t="shared" si="10"/>
        <v>0</v>
      </c>
      <c r="H37" s="6">
        <f t="shared" si="10"/>
        <v>0</v>
      </c>
      <c r="I37" s="6">
        <f t="shared" si="10"/>
        <v>0</v>
      </c>
      <c r="J37" s="6">
        <f t="shared" si="10"/>
        <v>0</v>
      </c>
    </row>
    <row r="39" spans="1:10" x14ac:dyDescent="0.4">
      <c r="A39" s="4" t="s">
        <v>106</v>
      </c>
      <c r="C39" s="6">
        <f>C33*(1-Inputs!B22)</f>
        <v>39.131035558753887</v>
      </c>
      <c r="D39" s="6">
        <f>D33*(1-Inputs!B22)</f>
        <v>16.727226811263108</v>
      </c>
      <c r="E39" s="6">
        <f>E33*(1-Inputs!B22)</f>
        <v>20.055502747695353</v>
      </c>
      <c r="F39" s="6">
        <f>F33*(1-Inputs!B22)</f>
        <v>0</v>
      </c>
      <c r="G39" s="6">
        <f>G33*(1-Inputs!B22)</f>
        <v>0</v>
      </c>
      <c r="H39" s="6">
        <f>H33*(1-Inputs!B22)</f>
        <v>0</v>
      </c>
      <c r="I39" s="6">
        <f>I33*(1-Inputs!B22)</f>
        <v>0</v>
      </c>
      <c r="J39" s="6">
        <f>J33*(1-Inputs!B22)</f>
        <v>0</v>
      </c>
    </row>
    <row r="40" spans="1:10" x14ac:dyDescent="0.4">
      <c r="A40" s="4" t="s">
        <v>107</v>
      </c>
      <c r="C40" s="6">
        <f>C34*(1-Inputs!B22)</f>
        <v>43.189447658768685</v>
      </c>
      <c r="D40" s="6">
        <f>D34*(1-Inputs!B22)</f>
        <v>16.917282949230373</v>
      </c>
      <c r="E40" s="6">
        <f>E34*(1-Inputs!B22)</f>
        <v>15.196785107290395</v>
      </c>
      <c r="F40" s="6">
        <f>F34*(1-Inputs!B22)</f>
        <v>0</v>
      </c>
      <c r="G40" s="6">
        <f>G34*(1-Inputs!B22)</f>
        <v>0</v>
      </c>
      <c r="H40" s="6">
        <f>H34*(1-Inputs!B22)</f>
        <v>0</v>
      </c>
      <c r="I40" s="6">
        <f>I34*(1-Inputs!B22)</f>
        <v>0</v>
      </c>
      <c r="J40" s="6">
        <f>J34*(1-Inputs!B22)</f>
        <v>0</v>
      </c>
    </row>
    <row r="41" spans="1:10" x14ac:dyDescent="0.4">
      <c r="A41" s="4" t="s">
        <v>108</v>
      </c>
      <c r="C41" s="6">
        <f>C35*(1-Inputs!B22)</f>
        <v>47.555873379888091</v>
      </c>
      <c r="D41" s="6">
        <f>D35*(1-Inputs!B22)</f>
        <v>17.097695809496663</v>
      </c>
      <c r="E41" s="6">
        <f>E35*(1-Inputs!B22)</f>
        <v>11.514157377165587</v>
      </c>
      <c r="F41" s="6">
        <f>F35*(1-Inputs!B22)</f>
        <v>0</v>
      </c>
      <c r="G41" s="6">
        <f>G35*(1-Inputs!B22)</f>
        <v>0</v>
      </c>
      <c r="H41" s="6">
        <f>H35*(1-Inputs!B22)</f>
        <v>0</v>
      </c>
      <c r="I41" s="6">
        <f>I35*(1-Inputs!B22)</f>
        <v>0</v>
      </c>
      <c r="J41" s="6">
        <f>J35*(1-Inputs!B22)</f>
        <v>0</v>
      </c>
    </row>
    <row r="42" spans="1:10" x14ac:dyDescent="0.4">
      <c r="A42" s="4" t="s">
        <v>109</v>
      </c>
      <c r="C42" s="6">
        <f>C36*(1-Inputs!B22)</f>
        <v>52.250968053972493</v>
      </c>
      <c r="D42" s="6">
        <f>D36*(1-Inputs!B22)</f>
        <v>17.268714651007272</v>
      </c>
      <c r="E42" s="6">
        <f>E36*(1-Inputs!B22)</f>
        <v>8.7231663905906984</v>
      </c>
      <c r="F42" s="6">
        <f>F36*(1-Inputs!B22)</f>
        <v>0</v>
      </c>
      <c r="G42" s="6">
        <f>G36*(1-Inputs!B22)</f>
        <v>0</v>
      </c>
      <c r="H42" s="6">
        <f>H36*(1-Inputs!B22)</f>
        <v>0</v>
      </c>
      <c r="I42" s="6">
        <f>I36*(1-Inputs!B22)</f>
        <v>0</v>
      </c>
      <c r="J42" s="6">
        <f>J36*(1-Inputs!B22)</f>
        <v>0</v>
      </c>
    </row>
    <row r="43" spans="1:10" x14ac:dyDescent="0.4">
      <c r="A43" s="4" t="s">
        <v>110</v>
      </c>
      <c r="C43" s="6">
        <f>C37*(1-Inputs!B22)</f>
        <v>57.296682512015629</v>
      </c>
      <c r="D43" s="6">
        <f>D37*(1-Inputs!B22)</f>
        <v>17.430583383007534</v>
      </c>
      <c r="E43" s="6">
        <f>E37*(1-Inputs!B22)</f>
        <v>6.6081056017704896</v>
      </c>
      <c r="F43" s="6">
        <f>F37*(1-Inputs!B22)</f>
        <v>0</v>
      </c>
      <c r="G43" s="6">
        <f>G37*(1-Inputs!B22)</f>
        <v>0</v>
      </c>
      <c r="H43" s="6">
        <f>H37*(1-Inputs!B22)</f>
        <v>0</v>
      </c>
      <c r="I43" s="6">
        <f>I37*(1-Inputs!B22)</f>
        <v>0</v>
      </c>
      <c r="J43" s="6">
        <f>J37*(1-Inputs!B22)</f>
        <v>0</v>
      </c>
    </row>
    <row r="45" spans="1:10" x14ac:dyDescent="0.4">
      <c r="A45" s="4" t="s">
        <v>111</v>
      </c>
      <c r="C45" s="6">
        <f t="shared" ref="C45:J45" si="11">C21*IF(ISBLANK(C26),C12,C12+(C26-C12)*(0)/4)</f>
        <v>10.681545</v>
      </c>
      <c r="D45" s="6">
        <f t="shared" si="11"/>
        <v>0</v>
      </c>
      <c r="E45" s="6">
        <f t="shared" si="11"/>
        <v>0</v>
      </c>
      <c r="F45" s="6">
        <f t="shared" si="11"/>
        <v>0</v>
      </c>
      <c r="G45" s="6">
        <f t="shared" si="11"/>
        <v>0</v>
      </c>
      <c r="H45" s="6">
        <f t="shared" si="11"/>
        <v>0</v>
      </c>
      <c r="I45" s="6">
        <f t="shared" si="11"/>
        <v>0</v>
      </c>
      <c r="J45" s="6">
        <f t="shared" si="11"/>
        <v>0</v>
      </c>
    </row>
    <row r="46" spans="1:10" x14ac:dyDescent="0.4">
      <c r="A46" s="4" t="s">
        <v>112</v>
      </c>
      <c r="C46" s="6">
        <f t="shared" ref="C46:J46" si="12">C22*IF(ISBLANK(C26),C12,C12+(C26-C12)*(1)/4)</f>
        <v>9.0212613749999999</v>
      </c>
      <c r="D46" s="6">
        <f t="shared" si="12"/>
        <v>0</v>
      </c>
      <c r="E46" s="6">
        <f t="shared" si="12"/>
        <v>0.75366615895117806</v>
      </c>
      <c r="F46" s="6">
        <f t="shared" si="12"/>
        <v>0</v>
      </c>
      <c r="G46" s="6">
        <f t="shared" si="12"/>
        <v>0</v>
      </c>
      <c r="H46" s="6">
        <f t="shared" si="12"/>
        <v>0</v>
      </c>
      <c r="I46" s="6">
        <f t="shared" si="12"/>
        <v>0</v>
      </c>
      <c r="J46" s="6">
        <f t="shared" si="12"/>
        <v>0</v>
      </c>
    </row>
    <row r="47" spans="1:10" x14ac:dyDescent="0.4">
      <c r="A47" s="4" t="s">
        <v>113</v>
      </c>
      <c r="C47" s="6">
        <f t="shared" ref="C47:J47" si="13">C23*IF(ISBLANK(C26),C12,C12+(C26-C12)*(2)/4)</f>
        <v>7.1682455250000015</v>
      </c>
      <c r="D47" s="6">
        <f t="shared" si="13"/>
        <v>0</v>
      </c>
      <c r="E47" s="6">
        <f t="shared" si="13"/>
        <v>1.152806208711709</v>
      </c>
      <c r="F47" s="6">
        <f t="shared" si="13"/>
        <v>0</v>
      </c>
      <c r="G47" s="6">
        <f t="shared" si="13"/>
        <v>0</v>
      </c>
      <c r="H47" s="6">
        <f t="shared" si="13"/>
        <v>0</v>
      </c>
      <c r="I47" s="6">
        <f t="shared" si="13"/>
        <v>0</v>
      </c>
      <c r="J47" s="6">
        <f t="shared" si="13"/>
        <v>0</v>
      </c>
    </row>
    <row r="48" spans="1:10" x14ac:dyDescent="0.4">
      <c r="A48" s="4" t="s">
        <v>114</v>
      </c>
      <c r="C48" s="6">
        <f t="shared" ref="C48:J48" si="14">C24*IF(ISBLANK(C26),C12,C12+(C26-C12)*(3)/4)</f>
        <v>5.1073749365625014</v>
      </c>
      <c r="D48" s="6">
        <f t="shared" si="14"/>
        <v>0</v>
      </c>
      <c r="E48" s="6">
        <f t="shared" si="14"/>
        <v>1.3224975067478986</v>
      </c>
      <c r="F48" s="6">
        <f t="shared" si="14"/>
        <v>0</v>
      </c>
      <c r="G48" s="6">
        <f t="shared" si="14"/>
        <v>0</v>
      </c>
      <c r="H48" s="6">
        <f t="shared" si="14"/>
        <v>0</v>
      </c>
      <c r="I48" s="6">
        <f t="shared" si="14"/>
        <v>0</v>
      </c>
      <c r="J48" s="6">
        <f t="shared" si="14"/>
        <v>0</v>
      </c>
    </row>
    <row r="49" spans="1:10" x14ac:dyDescent="0.4">
      <c r="A49" s="4" t="s">
        <v>115</v>
      </c>
      <c r="C49" s="6">
        <f t="shared" ref="C49:J49" si="15">C25*IF(ISBLANK(C26),C12,C12+(C26-C12)*(4)/4)</f>
        <v>2.8224966754687513</v>
      </c>
      <c r="D49" s="6">
        <f t="shared" si="15"/>
        <v>0</v>
      </c>
      <c r="E49" s="6">
        <f t="shared" si="15"/>
        <v>1.3485929799531611</v>
      </c>
      <c r="F49" s="6">
        <f t="shared" si="15"/>
        <v>0</v>
      </c>
      <c r="G49" s="6">
        <f t="shared" si="15"/>
        <v>0</v>
      </c>
      <c r="H49" s="6">
        <f t="shared" si="15"/>
        <v>0</v>
      </c>
      <c r="I49" s="6">
        <f t="shared" si="15"/>
        <v>0</v>
      </c>
      <c r="J49" s="6">
        <f t="shared" si="15"/>
        <v>0</v>
      </c>
    </row>
    <row r="51" spans="1:10" x14ac:dyDescent="0.4">
      <c r="A51" s="4" t="s">
        <v>116</v>
      </c>
      <c r="C51" s="6">
        <f t="shared" ref="C51:J55" si="16">C39-C45</f>
        <v>28.449490558753887</v>
      </c>
      <c r="D51" s="6">
        <f t="shared" si="16"/>
        <v>16.727226811263108</v>
      </c>
      <c r="E51" s="6">
        <f t="shared" si="16"/>
        <v>20.055502747695353</v>
      </c>
      <c r="F51" s="6">
        <f t="shared" si="16"/>
        <v>0</v>
      </c>
      <c r="G51" s="6">
        <f t="shared" si="16"/>
        <v>0</v>
      </c>
      <c r="H51" s="6">
        <f t="shared" si="16"/>
        <v>0</v>
      </c>
      <c r="I51" s="6">
        <f t="shared" si="16"/>
        <v>0</v>
      </c>
      <c r="J51" s="6">
        <f t="shared" si="16"/>
        <v>0</v>
      </c>
    </row>
    <row r="52" spans="1:10" x14ac:dyDescent="0.4">
      <c r="A52" s="4" t="s">
        <v>117</v>
      </c>
      <c r="C52" s="6">
        <f t="shared" si="16"/>
        <v>34.168186283768684</v>
      </c>
      <c r="D52" s="6">
        <f t="shared" si="16"/>
        <v>16.917282949230373</v>
      </c>
      <c r="E52" s="6">
        <f t="shared" si="16"/>
        <v>14.443118948339217</v>
      </c>
      <c r="F52" s="6">
        <f t="shared" si="16"/>
        <v>0</v>
      </c>
      <c r="G52" s="6">
        <f t="shared" si="16"/>
        <v>0</v>
      </c>
      <c r="H52" s="6">
        <f t="shared" si="16"/>
        <v>0</v>
      </c>
      <c r="I52" s="6">
        <f t="shared" si="16"/>
        <v>0</v>
      </c>
      <c r="J52" s="6">
        <f t="shared" si="16"/>
        <v>0</v>
      </c>
    </row>
    <row r="53" spans="1:10" x14ac:dyDescent="0.4">
      <c r="A53" s="4" t="s">
        <v>118</v>
      </c>
      <c r="C53" s="6">
        <f t="shared" si="16"/>
        <v>40.387627854888088</v>
      </c>
      <c r="D53" s="6">
        <f t="shared" si="16"/>
        <v>17.097695809496663</v>
      </c>
      <c r="E53" s="6">
        <f t="shared" si="16"/>
        <v>10.361351168453877</v>
      </c>
      <c r="F53" s="6">
        <f t="shared" si="16"/>
        <v>0</v>
      </c>
      <c r="G53" s="6">
        <f t="shared" si="16"/>
        <v>0</v>
      </c>
      <c r="H53" s="6">
        <f t="shared" si="16"/>
        <v>0</v>
      </c>
      <c r="I53" s="6">
        <f t="shared" si="16"/>
        <v>0</v>
      </c>
      <c r="J53" s="6">
        <f t="shared" si="16"/>
        <v>0</v>
      </c>
    </row>
    <row r="54" spans="1:10" x14ac:dyDescent="0.4">
      <c r="A54" s="4" t="s">
        <v>119</v>
      </c>
      <c r="C54" s="6">
        <f t="shared" si="16"/>
        <v>47.143593117409992</v>
      </c>
      <c r="D54" s="6">
        <f t="shared" si="16"/>
        <v>17.268714651007272</v>
      </c>
      <c r="E54" s="6">
        <f t="shared" si="16"/>
        <v>7.4006688838427994</v>
      </c>
      <c r="F54" s="6">
        <f t="shared" si="16"/>
        <v>0</v>
      </c>
      <c r="G54" s="6">
        <f t="shared" si="16"/>
        <v>0</v>
      </c>
      <c r="H54" s="6">
        <f t="shared" si="16"/>
        <v>0</v>
      </c>
      <c r="I54" s="6">
        <f t="shared" si="16"/>
        <v>0</v>
      </c>
      <c r="J54" s="6">
        <f t="shared" si="16"/>
        <v>0</v>
      </c>
    </row>
    <row r="55" spans="1:10" x14ac:dyDescent="0.4">
      <c r="A55" s="4" t="s">
        <v>120</v>
      </c>
      <c r="C55" s="6">
        <f t="shared" si="16"/>
        <v>54.47418583654688</v>
      </c>
      <c r="D55" s="6">
        <f t="shared" si="16"/>
        <v>17.430583383007534</v>
      </c>
      <c r="E55" s="6">
        <f t="shared" si="16"/>
        <v>5.2595126218173283</v>
      </c>
      <c r="F55" s="6">
        <f t="shared" si="16"/>
        <v>0</v>
      </c>
      <c r="G55" s="6">
        <f t="shared" si="16"/>
        <v>0</v>
      </c>
      <c r="H55" s="6">
        <f t="shared" si="16"/>
        <v>0</v>
      </c>
      <c r="I55" s="6">
        <f t="shared" si="16"/>
        <v>0</v>
      </c>
      <c r="J55" s="6">
        <f t="shared" si="16"/>
        <v>0</v>
      </c>
    </row>
    <row r="57" spans="1:10" x14ac:dyDescent="0.4">
      <c r="A57" s="4" t="s">
        <v>121</v>
      </c>
      <c r="C57" s="6">
        <f t="shared" ref="C57:J57" si="17">C51/((1+C16))</f>
        <v>25.87944023713364</v>
      </c>
      <c r="D57" s="6">
        <f t="shared" si="17"/>
        <v>15.192034421391719</v>
      </c>
      <c r="E57" s="6">
        <f t="shared" si="17"/>
        <v>18.243742667826005</v>
      </c>
      <c r="F57" s="6">
        <f t="shared" si="17"/>
        <v>0</v>
      </c>
      <c r="G57" s="6">
        <f t="shared" si="17"/>
        <v>0</v>
      </c>
      <c r="H57" s="6">
        <f t="shared" si="17"/>
        <v>0</v>
      </c>
      <c r="I57" s="6">
        <f t="shared" si="17"/>
        <v>0</v>
      </c>
      <c r="J57" s="6">
        <f t="shared" si="17"/>
        <v>0</v>
      </c>
    </row>
    <row r="58" spans="1:10" x14ac:dyDescent="0.4">
      <c r="A58" s="4" t="s">
        <v>122</v>
      </c>
      <c r="C58" s="6">
        <f t="shared" ref="C58:J58" si="18">C52/((1+C16)*(1+C16+(C104-C16)*1/5))</f>
        <v>28.292558508748094</v>
      </c>
      <c r="D58" s="6">
        <f t="shared" si="18"/>
        <v>13.968228960599752</v>
      </c>
      <c r="E58" s="6">
        <f t="shared" si="18"/>
        <v>11.959452120196769</v>
      </c>
      <c r="F58" s="6">
        <f t="shared" si="18"/>
        <v>0</v>
      </c>
      <c r="G58" s="6">
        <f t="shared" si="18"/>
        <v>0</v>
      </c>
      <c r="H58" s="6">
        <f t="shared" si="18"/>
        <v>0</v>
      </c>
      <c r="I58" s="6">
        <f t="shared" si="18"/>
        <v>0</v>
      </c>
      <c r="J58" s="6">
        <f t="shared" si="18"/>
        <v>0</v>
      </c>
    </row>
    <row r="59" spans="1:10" x14ac:dyDescent="0.4">
      <c r="A59" s="4" t="s">
        <v>123</v>
      </c>
      <c r="C59" s="6">
        <f t="shared" ref="C59:J59" si="19">C53/((1+C16)*(1+C16+(C104-C16)*1/5)*(1+C16+(C104-C16)*2/5))</f>
        <v>30.461990260975256</v>
      </c>
      <c r="D59" s="6">
        <f t="shared" si="19"/>
        <v>12.846778373409807</v>
      </c>
      <c r="E59" s="6">
        <f t="shared" si="19"/>
        <v>7.8149521313316361</v>
      </c>
      <c r="F59" s="6">
        <f t="shared" si="19"/>
        <v>0</v>
      </c>
      <c r="G59" s="6">
        <f t="shared" si="19"/>
        <v>0</v>
      </c>
      <c r="H59" s="6">
        <f t="shared" si="19"/>
        <v>0</v>
      </c>
      <c r="I59" s="6">
        <f t="shared" si="19"/>
        <v>0</v>
      </c>
      <c r="J59" s="6">
        <f t="shared" si="19"/>
        <v>0</v>
      </c>
    </row>
    <row r="60" spans="1:10" x14ac:dyDescent="0.4">
      <c r="A60" s="4" t="s">
        <v>124</v>
      </c>
      <c r="C60" s="6">
        <f t="shared" ref="C60:J60" si="20">C54/((1+C16)*(1+C16+(C104-C16)*1/5)*(1+C16+(C104-C16)*2/5)*(1+C16+(C104-C16)*3/5))</f>
        <v>32.410233168365814</v>
      </c>
      <c r="D60" s="6">
        <f t="shared" si="20"/>
        <v>11.819256701663088</v>
      </c>
      <c r="E60" s="6">
        <f t="shared" si="20"/>
        <v>5.0878049012907347</v>
      </c>
      <c r="F60" s="6">
        <f t="shared" si="20"/>
        <v>0</v>
      </c>
      <c r="G60" s="6">
        <f t="shared" si="20"/>
        <v>0</v>
      </c>
      <c r="H60" s="6">
        <f t="shared" si="20"/>
        <v>0</v>
      </c>
      <c r="I60" s="6">
        <f t="shared" si="20"/>
        <v>0</v>
      </c>
      <c r="J60" s="6">
        <f t="shared" si="20"/>
        <v>0</v>
      </c>
    </row>
    <row r="61" spans="1:10" x14ac:dyDescent="0.4">
      <c r="A61" s="4" t="s">
        <v>125</v>
      </c>
      <c r="C61" s="6">
        <f t="shared" ref="C61:J61" si="21">C55/((1+C16)*(1+C16+(C104-C16)*1/5)*(1+C16+(C104-C16)*2/5)*(1+C16+(C104-C16)*3/5)*(1+C16+(C104-C16)*4/5))</f>
        <v>34.15779894777323</v>
      </c>
      <c r="D61" s="6">
        <f t="shared" si="21"/>
        <v>10.877863241294326</v>
      </c>
      <c r="E61" s="6">
        <f t="shared" si="21"/>
        <v>3.2979542867950866</v>
      </c>
      <c r="F61" s="6">
        <f t="shared" si="21"/>
        <v>0</v>
      </c>
      <c r="G61" s="6">
        <f t="shared" si="21"/>
        <v>0</v>
      </c>
      <c r="H61" s="6">
        <f t="shared" si="21"/>
        <v>0</v>
      </c>
      <c r="I61" s="6">
        <f t="shared" si="21"/>
        <v>0</v>
      </c>
      <c r="J61" s="6">
        <f t="shared" si="21"/>
        <v>0</v>
      </c>
    </row>
    <row r="62" spans="1:10" x14ac:dyDescent="0.4">
      <c r="A62" s="3" t="s">
        <v>126</v>
      </c>
    </row>
    <row r="63" spans="1:10" x14ac:dyDescent="0.4">
      <c r="A63" s="4" t="s">
        <v>127</v>
      </c>
      <c r="C63" s="6">
        <f t="shared" ref="C63:J63" si="22">C25*(1+(C6+(C13-C6)*1/5))</f>
        <v>589.81467786201335</v>
      </c>
      <c r="D63" s="6">
        <f t="shared" si="22"/>
        <v>120.11938397026866</v>
      </c>
      <c r="E63" s="6">
        <f t="shared" si="22"/>
        <v>55.06877169872471</v>
      </c>
      <c r="F63" s="6">
        <f t="shared" si="22"/>
        <v>0</v>
      </c>
      <c r="G63" s="6">
        <f t="shared" si="22"/>
        <v>0</v>
      </c>
      <c r="H63" s="6">
        <f t="shared" si="22"/>
        <v>0</v>
      </c>
      <c r="I63" s="6">
        <f t="shared" si="22"/>
        <v>0</v>
      </c>
      <c r="J63" s="6">
        <f t="shared" si="22"/>
        <v>0</v>
      </c>
    </row>
    <row r="64" spans="1:10" x14ac:dyDescent="0.4">
      <c r="A64" s="4" t="s">
        <v>128</v>
      </c>
      <c r="C64" s="6">
        <f t="shared" ref="C64:J64" si="23">C63*(1+(C6+(C13-C6)*2/5))</f>
        <v>613.22519579182187</v>
      </c>
      <c r="D64" s="6">
        <f t="shared" si="23"/>
        <v>119.70745796680751</v>
      </c>
      <c r="E64" s="6">
        <f t="shared" si="23"/>
        <v>47.831121307425853</v>
      </c>
      <c r="F64" s="6">
        <f t="shared" si="23"/>
        <v>0</v>
      </c>
      <c r="G64" s="6">
        <f t="shared" si="23"/>
        <v>0</v>
      </c>
      <c r="H64" s="6">
        <f t="shared" si="23"/>
        <v>0</v>
      </c>
      <c r="I64" s="6">
        <f t="shared" si="23"/>
        <v>0</v>
      </c>
      <c r="J64" s="6">
        <f t="shared" si="23"/>
        <v>0</v>
      </c>
    </row>
    <row r="65" spans="1:10" x14ac:dyDescent="0.4">
      <c r="A65" s="4" t="s">
        <v>129</v>
      </c>
      <c r="C65" s="6">
        <f t="shared" ref="C65:J65" si="24">C64*(1+(C6+(C13-C6)*3/5))</f>
        <v>634.40413402052422</v>
      </c>
      <c r="D65" s="6">
        <f t="shared" si="24"/>
        <v>120.00152604138704</v>
      </c>
      <c r="E65" s="6">
        <f t="shared" si="24"/>
        <v>44.02646918843778</v>
      </c>
      <c r="F65" s="6">
        <f t="shared" si="24"/>
        <v>0</v>
      </c>
      <c r="G65" s="6">
        <f t="shared" si="24"/>
        <v>0</v>
      </c>
      <c r="H65" s="6">
        <f t="shared" si="24"/>
        <v>0</v>
      </c>
      <c r="I65" s="6">
        <f t="shared" si="24"/>
        <v>0</v>
      </c>
      <c r="J65" s="6">
        <f t="shared" si="24"/>
        <v>0</v>
      </c>
    </row>
    <row r="66" spans="1:10" x14ac:dyDescent="0.4">
      <c r="A66" s="4" t="s">
        <v>130</v>
      </c>
      <c r="C66" s="6">
        <f t="shared" ref="C66:J66" si="25">C65*(1+(C6+(C13-C6)*4/5))</f>
        <v>653.04459114043698</v>
      </c>
      <c r="D66" s="6">
        <f t="shared" si="25"/>
        <v>121.00262881261132</v>
      </c>
      <c r="E66" s="6">
        <f t="shared" si="25"/>
        <v>42.808803462790273</v>
      </c>
      <c r="F66" s="6">
        <f t="shared" si="25"/>
        <v>0</v>
      </c>
      <c r="G66" s="6">
        <f t="shared" si="25"/>
        <v>0</v>
      </c>
      <c r="H66" s="6">
        <f t="shared" si="25"/>
        <v>0</v>
      </c>
      <c r="I66" s="6">
        <f t="shared" si="25"/>
        <v>0</v>
      </c>
      <c r="J66" s="6">
        <f t="shared" si="25"/>
        <v>0</v>
      </c>
    </row>
    <row r="67" spans="1:10" x14ac:dyDescent="0.4">
      <c r="A67" s="4" t="s">
        <v>131</v>
      </c>
      <c r="C67" s="6">
        <f t="shared" ref="C67:J67" si="26">C66*(1+(C6+(C13-C6)*5/5))</f>
        <v>668.86673704225598</v>
      </c>
      <c r="D67" s="6">
        <f t="shared" si="26"/>
        <v>122.72428785432368</v>
      </c>
      <c r="E67" s="6">
        <f t="shared" si="26"/>
        <v>43.845987054017513</v>
      </c>
      <c r="F67" s="6">
        <f t="shared" si="26"/>
        <v>0</v>
      </c>
      <c r="G67" s="6">
        <f t="shared" si="26"/>
        <v>0</v>
      </c>
      <c r="H67" s="6">
        <f t="shared" si="26"/>
        <v>0</v>
      </c>
      <c r="I67" s="6">
        <f t="shared" si="26"/>
        <v>0</v>
      </c>
      <c r="J67" s="6">
        <f t="shared" si="26"/>
        <v>0</v>
      </c>
    </row>
    <row r="69" spans="1:10" x14ac:dyDescent="0.4">
      <c r="A69" s="4" t="s">
        <v>132</v>
      </c>
      <c r="C69" s="11">
        <f t="shared" ref="C69:J69" si="27">IF(ISBLANK(C9),C7,C9)</f>
        <v>0.14499999999999999</v>
      </c>
      <c r="D69" s="11">
        <f t="shared" si="27"/>
        <v>0.20536966801168871</v>
      </c>
      <c r="E69" s="11">
        <f t="shared" si="27"/>
        <v>0.14000000000000001</v>
      </c>
      <c r="F69" s="11">
        <f t="shared" si="27"/>
        <v>0</v>
      </c>
      <c r="G69" s="11">
        <f t="shared" si="27"/>
        <v>0</v>
      </c>
      <c r="H69" s="11">
        <f t="shared" si="27"/>
        <v>0</v>
      </c>
      <c r="I69" s="11">
        <f t="shared" si="27"/>
        <v>0</v>
      </c>
      <c r="J69" s="11">
        <f t="shared" si="27"/>
        <v>0</v>
      </c>
    </row>
    <row r="70" spans="1:10" x14ac:dyDescent="0.4">
      <c r="A70" s="4" t="s">
        <v>133</v>
      </c>
      <c r="C70" s="11">
        <f t="shared" ref="C70:J70" si="28">IF(ISBLANK(C9),C7,C9)</f>
        <v>0.14499999999999999</v>
      </c>
      <c r="D70" s="11">
        <f t="shared" si="28"/>
        <v>0.20536966801168871</v>
      </c>
      <c r="E70" s="11">
        <f t="shared" si="28"/>
        <v>0.14000000000000001</v>
      </c>
      <c r="F70" s="11">
        <f t="shared" si="28"/>
        <v>0</v>
      </c>
      <c r="G70" s="11">
        <f t="shared" si="28"/>
        <v>0</v>
      </c>
      <c r="H70" s="11">
        <f t="shared" si="28"/>
        <v>0</v>
      </c>
      <c r="I70" s="11">
        <f t="shared" si="28"/>
        <v>0</v>
      </c>
      <c r="J70" s="11">
        <f t="shared" si="28"/>
        <v>0</v>
      </c>
    </row>
    <row r="71" spans="1:10" x14ac:dyDescent="0.4">
      <c r="A71" s="4" t="s">
        <v>134</v>
      </c>
      <c r="C71" s="11">
        <f t="shared" ref="C71:J71" si="29">IF(ISBLANK(C9),C7,C9)</f>
        <v>0.14499999999999999</v>
      </c>
      <c r="D71" s="11">
        <f t="shared" si="29"/>
        <v>0.20536966801168871</v>
      </c>
      <c r="E71" s="11">
        <f t="shared" si="29"/>
        <v>0.14000000000000001</v>
      </c>
      <c r="F71" s="11">
        <f t="shared" si="29"/>
        <v>0</v>
      </c>
      <c r="G71" s="11">
        <f t="shared" si="29"/>
        <v>0</v>
      </c>
      <c r="H71" s="11">
        <f t="shared" si="29"/>
        <v>0</v>
      </c>
      <c r="I71" s="11">
        <f t="shared" si="29"/>
        <v>0</v>
      </c>
      <c r="J71" s="11">
        <f t="shared" si="29"/>
        <v>0</v>
      </c>
    </row>
    <row r="72" spans="1:10" x14ac:dyDescent="0.4">
      <c r="A72" s="4" t="s">
        <v>135</v>
      </c>
      <c r="C72" s="11">
        <f t="shared" ref="C72:J72" si="30">IF(ISBLANK(C9),C7,C9)</f>
        <v>0.14499999999999999</v>
      </c>
      <c r="D72" s="11">
        <f t="shared" si="30"/>
        <v>0.20536966801168871</v>
      </c>
      <c r="E72" s="11">
        <f t="shared" si="30"/>
        <v>0.14000000000000001</v>
      </c>
      <c r="F72" s="11">
        <f t="shared" si="30"/>
        <v>0</v>
      </c>
      <c r="G72" s="11">
        <f t="shared" si="30"/>
        <v>0</v>
      </c>
      <c r="H72" s="11">
        <f t="shared" si="30"/>
        <v>0</v>
      </c>
      <c r="I72" s="11">
        <f t="shared" si="30"/>
        <v>0</v>
      </c>
      <c r="J72" s="11">
        <f t="shared" si="30"/>
        <v>0</v>
      </c>
    </row>
    <row r="73" spans="1:10" x14ac:dyDescent="0.4">
      <c r="A73" s="4" t="s">
        <v>136</v>
      </c>
      <c r="C73" s="11">
        <f t="shared" ref="C73:J73" si="31">IF(ISBLANK(C9),C7,C9)</f>
        <v>0.14499999999999999</v>
      </c>
      <c r="D73" s="11">
        <f t="shared" si="31"/>
        <v>0.20536966801168871</v>
      </c>
      <c r="E73" s="11">
        <f t="shared" si="31"/>
        <v>0.14000000000000001</v>
      </c>
      <c r="F73" s="11">
        <f t="shared" si="31"/>
        <v>0</v>
      </c>
      <c r="G73" s="11">
        <f t="shared" si="31"/>
        <v>0</v>
      </c>
      <c r="H73" s="11">
        <f t="shared" si="31"/>
        <v>0</v>
      </c>
      <c r="I73" s="11">
        <f t="shared" si="31"/>
        <v>0</v>
      </c>
      <c r="J73" s="11">
        <f t="shared" si="31"/>
        <v>0</v>
      </c>
    </row>
    <row r="75" spans="1:10" x14ac:dyDescent="0.4">
      <c r="A75" s="4" t="s">
        <v>137</v>
      </c>
      <c r="C75" s="6">
        <f t="shared" ref="C75:J79" si="32">C63*C69</f>
        <v>85.523128289991931</v>
      </c>
      <c r="D75" s="6">
        <f t="shared" si="32"/>
        <v>24.668878007742638</v>
      </c>
      <c r="E75" s="6">
        <f t="shared" si="32"/>
        <v>7.7096280378214601</v>
      </c>
      <c r="F75" s="6">
        <f t="shared" si="32"/>
        <v>0</v>
      </c>
      <c r="G75" s="6">
        <f t="shared" si="32"/>
        <v>0</v>
      </c>
      <c r="H75" s="6">
        <f t="shared" si="32"/>
        <v>0</v>
      </c>
      <c r="I75" s="6">
        <f t="shared" si="32"/>
        <v>0</v>
      </c>
      <c r="J75" s="6">
        <f t="shared" si="32"/>
        <v>0</v>
      </c>
    </row>
    <row r="76" spans="1:10" x14ac:dyDescent="0.4">
      <c r="A76" s="4" t="s">
        <v>138</v>
      </c>
      <c r="C76" s="6">
        <f t="shared" si="32"/>
        <v>88.917653389814163</v>
      </c>
      <c r="D76" s="6">
        <f t="shared" si="32"/>
        <v>24.584280901166441</v>
      </c>
      <c r="E76" s="6">
        <f t="shared" si="32"/>
        <v>6.6963569830396201</v>
      </c>
      <c r="F76" s="6">
        <f t="shared" si="32"/>
        <v>0</v>
      </c>
      <c r="G76" s="6">
        <f t="shared" si="32"/>
        <v>0</v>
      </c>
      <c r="H76" s="6">
        <f t="shared" si="32"/>
        <v>0</v>
      </c>
      <c r="I76" s="6">
        <f t="shared" si="32"/>
        <v>0</v>
      </c>
      <c r="J76" s="6">
        <f t="shared" si="32"/>
        <v>0</v>
      </c>
    </row>
    <row r="77" spans="1:10" x14ac:dyDescent="0.4">
      <c r="A77" s="4" t="s">
        <v>139</v>
      </c>
      <c r="C77" s="6">
        <f t="shared" si="32"/>
        <v>91.988599432976002</v>
      </c>
      <c r="D77" s="6">
        <f t="shared" si="32"/>
        <v>24.644673564015672</v>
      </c>
      <c r="E77" s="6">
        <f t="shared" si="32"/>
        <v>6.1637056863812898</v>
      </c>
      <c r="F77" s="6">
        <f t="shared" si="32"/>
        <v>0</v>
      </c>
      <c r="G77" s="6">
        <f t="shared" si="32"/>
        <v>0</v>
      </c>
      <c r="H77" s="6">
        <f t="shared" si="32"/>
        <v>0</v>
      </c>
      <c r="I77" s="6">
        <f t="shared" si="32"/>
        <v>0</v>
      </c>
      <c r="J77" s="6">
        <f t="shared" si="32"/>
        <v>0</v>
      </c>
    </row>
    <row r="78" spans="1:10" x14ac:dyDescent="0.4">
      <c r="A78" s="4" t="s">
        <v>140</v>
      </c>
      <c r="C78" s="6">
        <f t="shared" si="32"/>
        <v>94.69146571536335</v>
      </c>
      <c r="D78" s="6">
        <f t="shared" si="32"/>
        <v>24.850269707787586</v>
      </c>
      <c r="E78" s="6">
        <f t="shared" si="32"/>
        <v>5.9932324847906386</v>
      </c>
      <c r="F78" s="6">
        <f t="shared" si="32"/>
        <v>0</v>
      </c>
      <c r="G78" s="6">
        <f t="shared" si="32"/>
        <v>0</v>
      </c>
      <c r="H78" s="6">
        <f t="shared" si="32"/>
        <v>0</v>
      </c>
      <c r="I78" s="6">
        <f t="shared" si="32"/>
        <v>0</v>
      </c>
      <c r="J78" s="6">
        <f t="shared" si="32"/>
        <v>0</v>
      </c>
    </row>
    <row r="79" spans="1:10" x14ac:dyDescent="0.4">
      <c r="A79" s="4" t="s">
        <v>141</v>
      </c>
      <c r="C79" s="6">
        <f t="shared" si="32"/>
        <v>96.985676871127112</v>
      </c>
      <c r="D79" s="6">
        <f t="shared" si="32"/>
        <v>25.203846253613374</v>
      </c>
      <c r="E79" s="6">
        <f t="shared" si="32"/>
        <v>6.1384381875624525</v>
      </c>
      <c r="F79" s="6">
        <f t="shared" si="32"/>
        <v>0</v>
      </c>
      <c r="G79" s="6">
        <f t="shared" si="32"/>
        <v>0</v>
      </c>
      <c r="H79" s="6">
        <f t="shared" si="32"/>
        <v>0</v>
      </c>
      <c r="I79" s="6">
        <f t="shared" si="32"/>
        <v>0</v>
      </c>
      <c r="J79" s="6">
        <f t="shared" si="32"/>
        <v>0</v>
      </c>
    </row>
    <row r="81" spans="1:10" x14ac:dyDescent="0.4">
      <c r="A81" s="4" t="s">
        <v>142</v>
      </c>
      <c r="C81" s="6">
        <f>C75*(1-Inputs!B22)</f>
        <v>59.866189802994349</v>
      </c>
      <c r="D81" s="6">
        <f>D75*(1-Inputs!B22)</f>
        <v>17.268214605419846</v>
      </c>
      <c r="E81" s="6">
        <f>E75*(1-Inputs!B22)</f>
        <v>5.3967396264750214</v>
      </c>
      <c r="F81" s="6">
        <f>F75*(1-Inputs!B22)</f>
        <v>0</v>
      </c>
      <c r="G81" s="6">
        <f>G75*(1-Inputs!B22)</f>
        <v>0</v>
      </c>
      <c r="H81" s="6">
        <f>H75*(1-Inputs!B22)</f>
        <v>0</v>
      </c>
      <c r="I81" s="6">
        <f>I75*(1-Inputs!B22)</f>
        <v>0</v>
      </c>
      <c r="J81" s="6">
        <f>J75*(1-Inputs!B22)</f>
        <v>0</v>
      </c>
    </row>
    <row r="82" spans="1:10" x14ac:dyDescent="0.4">
      <c r="A82" s="4" t="s">
        <v>143</v>
      </c>
      <c r="C82" s="6">
        <f>C76*(1-Inputs!B22)</f>
        <v>62.242357372869911</v>
      </c>
      <c r="D82" s="6">
        <f>D76*(1-Inputs!B22)</f>
        <v>17.208996630816507</v>
      </c>
      <c r="E82" s="6">
        <f>E76*(1-Inputs!B22)</f>
        <v>4.687449888127734</v>
      </c>
      <c r="F82" s="6">
        <f>F76*(1-Inputs!B22)</f>
        <v>0</v>
      </c>
      <c r="G82" s="6">
        <f>G76*(1-Inputs!B22)</f>
        <v>0</v>
      </c>
      <c r="H82" s="6">
        <f>H76*(1-Inputs!B22)</f>
        <v>0</v>
      </c>
      <c r="I82" s="6">
        <f>I76*(1-Inputs!B22)</f>
        <v>0</v>
      </c>
      <c r="J82" s="6">
        <f>J76*(1-Inputs!B22)</f>
        <v>0</v>
      </c>
    </row>
    <row r="83" spans="1:10" x14ac:dyDescent="0.4">
      <c r="A83" s="4" t="s">
        <v>144</v>
      </c>
      <c r="C83" s="6">
        <f>C77*(1-Inputs!B22)</f>
        <v>64.392019603083199</v>
      </c>
      <c r="D83" s="6">
        <f>D77*(1-Inputs!B22)</f>
        <v>17.251271494810968</v>
      </c>
      <c r="E83" s="6">
        <f>E77*(1-Inputs!B22)</f>
        <v>4.3145939804669027</v>
      </c>
      <c r="F83" s="6">
        <f>F77*(1-Inputs!B22)</f>
        <v>0</v>
      </c>
      <c r="G83" s="6">
        <f>G77*(1-Inputs!B22)</f>
        <v>0</v>
      </c>
      <c r="H83" s="6">
        <f>H77*(1-Inputs!B22)</f>
        <v>0</v>
      </c>
      <c r="I83" s="6">
        <f>I77*(1-Inputs!B22)</f>
        <v>0</v>
      </c>
      <c r="J83" s="6">
        <f>J77*(1-Inputs!B22)</f>
        <v>0</v>
      </c>
    </row>
    <row r="84" spans="1:10" x14ac:dyDescent="0.4">
      <c r="A84" s="4" t="s">
        <v>145</v>
      </c>
      <c r="C84" s="6">
        <f>C78*(1-Inputs!B22)</f>
        <v>66.284026000754338</v>
      </c>
      <c r="D84" s="6">
        <f>D78*(1-Inputs!B22)</f>
        <v>17.395188795451308</v>
      </c>
      <c r="E84" s="6">
        <f>E78*(1-Inputs!B22)</f>
        <v>4.1952627393534465</v>
      </c>
      <c r="F84" s="6">
        <f>F78*(1-Inputs!B22)</f>
        <v>0</v>
      </c>
      <c r="G84" s="6">
        <f>G78*(1-Inputs!B22)</f>
        <v>0</v>
      </c>
      <c r="H84" s="6">
        <f>H78*(1-Inputs!B22)</f>
        <v>0</v>
      </c>
      <c r="I84" s="6">
        <f>I78*(1-Inputs!B22)</f>
        <v>0</v>
      </c>
      <c r="J84" s="6">
        <f>J78*(1-Inputs!B22)</f>
        <v>0</v>
      </c>
    </row>
    <row r="85" spans="1:10" x14ac:dyDescent="0.4">
      <c r="A85" s="4" t="s">
        <v>146</v>
      </c>
      <c r="C85" s="6">
        <f>C79*(1-Inputs!B22)</f>
        <v>67.88997380978897</v>
      </c>
      <c r="D85" s="6">
        <f>D79*(1-Inputs!B22)</f>
        <v>17.642692377529361</v>
      </c>
      <c r="E85" s="6">
        <f>E79*(1-Inputs!B22)</f>
        <v>4.2969067312937161</v>
      </c>
      <c r="F85" s="6">
        <f>F79*(1-Inputs!B22)</f>
        <v>0</v>
      </c>
      <c r="G85" s="6">
        <f>G79*(1-Inputs!B22)</f>
        <v>0</v>
      </c>
      <c r="H85" s="6">
        <f>H79*(1-Inputs!B22)</f>
        <v>0</v>
      </c>
      <c r="I85" s="6">
        <f>I79*(1-Inputs!B22)</f>
        <v>0</v>
      </c>
      <c r="J85" s="6">
        <f>J79*(1-Inputs!B22)</f>
        <v>0</v>
      </c>
    </row>
    <row r="87" spans="1:10" x14ac:dyDescent="0.4">
      <c r="A87" s="4" t="s">
        <v>147</v>
      </c>
      <c r="C87" s="6">
        <f t="shared" ref="C87:J87" si="33">C63*MAX(IF(ISBLANK(C26),C12,C26),0)</f>
        <v>2.9490733893100667</v>
      </c>
      <c r="D87" s="6">
        <f t="shared" si="33"/>
        <v>0</v>
      </c>
      <c r="E87" s="6">
        <f t="shared" si="33"/>
        <v>1.1013754339744943</v>
      </c>
      <c r="F87" s="6">
        <f t="shared" si="33"/>
        <v>0</v>
      </c>
      <c r="G87" s="6">
        <f t="shared" si="33"/>
        <v>0</v>
      </c>
      <c r="H87" s="6">
        <f t="shared" si="33"/>
        <v>0</v>
      </c>
      <c r="I87" s="6">
        <f t="shared" si="33"/>
        <v>0</v>
      </c>
      <c r="J87" s="6">
        <f t="shared" si="33"/>
        <v>0</v>
      </c>
    </row>
    <row r="88" spans="1:10" x14ac:dyDescent="0.4">
      <c r="A88" s="4" t="s">
        <v>148</v>
      </c>
      <c r="C88" s="6">
        <f t="shared" ref="C88:J88" si="34">C64*MAX(IF(ISBLANK(C26),C12,C26),0)</f>
        <v>3.0661259789591093</v>
      </c>
      <c r="D88" s="6">
        <f t="shared" si="34"/>
        <v>0</v>
      </c>
      <c r="E88" s="6">
        <f t="shared" si="34"/>
        <v>0.95662242614851711</v>
      </c>
      <c r="F88" s="6">
        <f t="shared" si="34"/>
        <v>0</v>
      </c>
      <c r="G88" s="6">
        <f t="shared" si="34"/>
        <v>0</v>
      </c>
      <c r="H88" s="6">
        <f t="shared" si="34"/>
        <v>0</v>
      </c>
      <c r="I88" s="6">
        <f t="shared" si="34"/>
        <v>0</v>
      </c>
      <c r="J88" s="6">
        <f t="shared" si="34"/>
        <v>0</v>
      </c>
    </row>
    <row r="89" spans="1:10" x14ac:dyDescent="0.4">
      <c r="A89" s="4" t="s">
        <v>149</v>
      </c>
      <c r="C89" s="6">
        <f t="shared" ref="C89:J89" si="35">C65*MAX(IF(ISBLANK(C26),C12,C26),0)</f>
        <v>3.1720206701026212</v>
      </c>
      <c r="D89" s="6">
        <f t="shared" si="35"/>
        <v>0</v>
      </c>
      <c r="E89" s="6">
        <f t="shared" si="35"/>
        <v>0.88052938376875556</v>
      </c>
      <c r="F89" s="6">
        <f t="shared" si="35"/>
        <v>0</v>
      </c>
      <c r="G89" s="6">
        <f t="shared" si="35"/>
        <v>0</v>
      </c>
      <c r="H89" s="6">
        <f t="shared" si="35"/>
        <v>0</v>
      </c>
      <c r="I89" s="6">
        <f t="shared" si="35"/>
        <v>0</v>
      </c>
      <c r="J89" s="6">
        <f t="shared" si="35"/>
        <v>0</v>
      </c>
    </row>
    <row r="90" spans="1:10" x14ac:dyDescent="0.4">
      <c r="A90" s="4" t="s">
        <v>150</v>
      </c>
      <c r="C90" s="6">
        <f t="shared" ref="C90:J90" si="36">C66*MAX(IF(ISBLANK(C26),C12,C26),0)</f>
        <v>3.265222955702185</v>
      </c>
      <c r="D90" s="6">
        <f t="shared" si="36"/>
        <v>0</v>
      </c>
      <c r="E90" s="6">
        <f t="shared" si="36"/>
        <v>0.85617606925580547</v>
      </c>
      <c r="F90" s="6">
        <f t="shared" si="36"/>
        <v>0</v>
      </c>
      <c r="G90" s="6">
        <f t="shared" si="36"/>
        <v>0</v>
      </c>
      <c r="H90" s="6">
        <f t="shared" si="36"/>
        <v>0</v>
      </c>
      <c r="I90" s="6">
        <f t="shared" si="36"/>
        <v>0</v>
      </c>
      <c r="J90" s="6">
        <f t="shared" si="36"/>
        <v>0</v>
      </c>
    </row>
    <row r="91" spans="1:10" x14ac:dyDescent="0.4">
      <c r="A91" s="4" t="s">
        <v>151</v>
      </c>
      <c r="C91" s="6">
        <f t="shared" ref="C91:J91" si="37">C67*MAX(IF(ISBLANK(C26),C12,C26),0)</f>
        <v>3.3443336852112799</v>
      </c>
      <c r="D91" s="6">
        <f t="shared" si="37"/>
        <v>0</v>
      </c>
      <c r="E91" s="6">
        <f t="shared" si="37"/>
        <v>0.87691974108035031</v>
      </c>
      <c r="F91" s="6">
        <f t="shared" si="37"/>
        <v>0</v>
      </c>
      <c r="G91" s="6">
        <f t="shared" si="37"/>
        <v>0</v>
      </c>
      <c r="H91" s="6">
        <f t="shared" si="37"/>
        <v>0</v>
      </c>
      <c r="I91" s="6">
        <f t="shared" si="37"/>
        <v>0</v>
      </c>
      <c r="J91" s="6">
        <f t="shared" si="37"/>
        <v>0</v>
      </c>
    </row>
    <row r="93" spans="1:10" x14ac:dyDescent="0.4">
      <c r="A93" s="4" t="s">
        <v>152</v>
      </c>
      <c r="C93" s="6">
        <f t="shared" ref="C93:J97" si="38">C81-C87</f>
        <v>56.917116413684283</v>
      </c>
      <c r="D93" s="6">
        <f t="shared" si="38"/>
        <v>17.268214605419846</v>
      </c>
      <c r="E93" s="6">
        <f t="shared" si="38"/>
        <v>4.2953641925005268</v>
      </c>
      <c r="F93" s="6">
        <f t="shared" si="38"/>
        <v>0</v>
      </c>
      <c r="G93" s="6">
        <f t="shared" si="38"/>
        <v>0</v>
      </c>
      <c r="H93" s="6">
        <f t="shared" si="38"/>
        <v>0</v>
      </c>
      <c r="I93" s="6">
        <f t="shared" si="38"/>
        <v>0</v>
      </c>
      <c r="J93" s="6">
        <f t="shared" si="38"/>
        <v>0</v>
      </c>
    </row>
    <row r="94" spans="1:10" x14ac:dyDescent="0.4">
      <c r="A94" s="4" t="s">
        <v>153</v>
      </c>
      <c r="C94" s="6">
        <f t="shared" si="38"/>
        <v>59.176231393910804</v>
      </c>
      <c r="D94" s="6">
        <f t="shared" si="38"/>
        <v>17.208996630816507</v>
      </c>
      <c r="E94" s="6">
        <f t="shared" si="38"/>
        <v>3.7308274619792168</v>
      </c>
      <c r="F94" s="6">
        <f t="shared" si="38"/>
        <v>0</v>
      </c>
      <c r="G94" s="6">
        <f t="shared" si="38"/>
        <v>0</v>
      </c>
      <c r="H94" s="6">
        <f t="shared" si="38"/>
        <v>0</v>
      </c>
      <c r="I94" s="6">
        <f t="shared" si="38"/>
        <v>0</v>
      </c>
      <c r="J94" s="6">
        <f t="shared" si="38"/>
        <v>0</v>
      </c>
    </row>
    <row r="95" spans="1:10" x14ac:dyDescent="0.4">
      <c r="A95" s="4" t="s">
        <v>154</v>
      </c>
      <c r="C95" s="6">
        <f t="shared" si="38"/>
        <v>61.21999893298058</v>
      </c>
      <c r="D95" s="6">
        <f t="shared" si="38"/>
        <v>17.251271494810968</v>
      </c>
      <c r="E95" s="6">
        <f t="shared" si="38"/>
        <v>3.4340645966981471</v>
      </c>
      <c r="F95" s="6">
        <f t="shared" si="38"/>
        <v>0</v>
      </c>
      <c r="G95" s="6">
        <f t="shared" si="38"/>
        <v>0</v>
      </c>
      <c r="H95" s="6">
        <f t="shared" si="38"/>
        <v>0</v>
      </c>
      <c r="I95" s="6">
        <f t="shared" si="38"/>
        <v>0</v>
      </c>
      <c r="J95" s="6">
        <f t="shared" si="38"/>
        <v>0</v>
      </c>
    </row>
    <row r="96" spans="1:10" x14ac:dyDescent="0.4">
      <c r="A96" s="4" t="s">
        <v>155</v>
      </c>
      <c r="C96" s="6">
        <f t="shared" si="38"/>
        <v>63.018803045052152</v>
      </c>
      <c r="D96" s="6">
        <f t="shared" si="38"/>
        <v>17.395188795451308</v>
      </c>
      <c r="E96" s="6">
        <f t="shared" si="38"/>
        <v>3.3390866700976409</v>
      </c>
      <c r="F96" s="6">
        <f t="shared" si="38"/>
        <v>0</v>
      </c>
      <c r="G96" s="6">
        <f t="shared" si="38"/>
        <v>0</v>
      </c>
      <c r="H96" s="6">
        <f t="shared" si="38"/>
        <v>0</v>
      </c>
      <c r="I96" s="6">
        <f t="shared" si="38"/>
        <v>0</v>
      </c>
      <c r="J96" s="6">
        <f t="shared" si="38"/>
        <v>0</v>
      </c>
    </row>
    <row r="97" spans="1:11" x14ac:dyDescent="0.4">
      <c r="A97" s="4" t="s">
        <v>156</v>
      </c>
      <c r="C97" s="6">
        <f t="shared" si="38"/>
        <v>64.545640124577687</v>
      </c>
      <c r="D97" s="6">
        <f t="shared" si="38"/>
        <v>17.642692377529361</v>
      </c>
      <c r="E97" s="6">
        <f t="shared" si="38"/>
        <v>3.4199869902133657</v>
      </c>
      <c r="F97" s="6">
        <f t="shared" si="38"/>
        <v>0</v>
      </c>
      <c r="G97" s="6">
        <f t="shared" si="38"/>
        <v>0</v>
      </c>
      <c r="H97" s="6">
        <f t="shared" si="38"/>
        <v>0</v>
      </c>
      <c r="I97" s="6">
        <f t="shared" si="38"/>
        <v>0</v>
      </c>
      <c r="J97" s="6">
        <f t="shared" si="38"/>
        <v>0</v>
      </c>
    </row>
    <row r="99" spans="1:11" x14ac:dyDescent="0.4">
      <c r="A99" s="4" t="s">
        <v>157</v>
      </c>
      <c r="C99" s="6">
        <f t="shared" ref="C99:J99" si="39">C93/(((1+C16)*(1+C16+(C104-C16)*1/5)*(1+C16+(C104-C16)*2/5)*(1+C16+(C104-C16)*3/5)*(1+C16+(C104-C16)*4/5))*(1+C104)^1)</f>
        <v>32.574066231261583</v>
      </c>
      <c r="D99" s="6">
        <f t="shared" si="39"/>
        <v>9.8357858597820194</v>
      </c>
      <c r="E99" s="6">
        <f t="shared" si="39"/>
        <v>2.45826715248459</v>
      </c>
      <c r="F99" s="6">
        <f t="shared" si="39"/>
        <v>0</v>
      </c>
      <c r="G99" s="6">
        <f t="shared" si="39"/>
        <v>0</v>
      </c>
      <c r="H99" s="6">
        <f t="shared" si="39"/>
        <v>0</v>
      </c>
      <c r="I99" s="6">
        <f t="shared" si="39"/>
        <v>0</v>
      </c>
      <c r="J99" s="6">
        <f t="shared" si="39"/>
        <v>0</v>
      </c>
    </row>
    <row r="100" spans="1:11" x14ac:dyDescent="0.4">
      <c r="A100" s="4" t="s">
        <v>158</v>
      </c>
      <c r="C100" s="6">
        <f t="shared" ref="C100:J100" si="40">C94/(((1+C16)*(1+C16+(C104-C16)*1/5)*(1+C16+(C104-C16)*2/5)*(1+C16+(C104-C16)*3/5)*(1+C16+(C104-C16)*4/5))*(1+C104)^2)</f>
        <v>30.910522440827595</v>
      </c>
      <c r="D100" s="6">
        <f t="shared" si="40"/>
        <v>8.9463757144377478</v>
      </c>
      <c r="E100" s="6">
        <f t="shared" si="40"/>
        <v>1.9487862486327743</v>
      </c>
      <c r="F100" s="6">
        <f t="shared" si="40"/>
        <v>0</v>
      </c>
      <c r="G100" s="6">
        <f t="shared" si="40"/>
        <v>0</v>
      </c>
      <c r="H100" s="6">
        <f t="shared" si="40"/>
        <v>0</v>
      </c>
      <c r="I100" s="6">
        <f t="shared" si="40"/>
        <v>0</v>
      </c>
      <c r="J100" s="6">
        <f t="shared" si="40"/>
        <v>0</v>
      </c>
    </row>
    <row r="101" spans="1:11" x14ac:dyDescent="0.4">
      <c r="A101" s="4" t="s">
        <v>159</v>
      </c>
      <c r="C101" s="6">
        <f t="shared" ref="C101:J101" si="41">C95/(((1+C16)*(1+C16+(C104-C16)*1/5)*(1+C16+(C104-C16)*2/5)*(1+C16+(C104-C16)*3/5)*(1+C16+(C104-C16)*4/5))*(1+C104)^3)</f>
        <v>29.186519951907137</v>
      </c>
      <c r="D101" s="6">
        <f t="shared" si="41"/>
        <v>8.1854516820459047</v>
      </c>
      <c r="E101" s="6">
        <f t="shared" si="41"/>
        <v>1.6371838715219762</v>
      </c>
      <c r="F101" s="6">
        <f t="shared" si="41"/>
        <v>0</v>
      </c>
      <c r="G101" s="6">
        <f t="shared" si="41"/>
        <v>0</v>
      </c>
      <c r="H101" s="6">
        <f t="shared" si="41"/>
        <v>0</v>
      </c>
      <c r="I101" s="6">
        <f t="shared" si="41"/>
        <v>0</v>
      </c>
      <c r="J101" s="6">
        <f t="shared" si="41"/>
        <v>0</v>
      </c>
    </row>
    <row r="102" spans="1:11" x14ac:dyDescent="0.4">
      <c r="A102" s="4" t="s">
        <v>160</v>
      </c>
      <c r="C102" s="6">
        <f t="shared" ref="C102:J102" si="42">C96/(((1+C16)*(1+C16+(C104-C16)*1/5)*(1+C16+(C104-C16)*2/5)*(1+C16+(C104-C16)*3/5)*(1+C16+(C104-C16)*4/5))*(1+C104)^4)</f>
        <v>27.421367127470756</v>
      </c>
      <c r="D102" s="6">
        <f t="shared" si="42"/>
        <v>7.533219843320035</v>
      </c>
      <c r="E102" s="6">
        <f t="shared" si="42"/>
        <v>1.4529365368258951</v>
      </c>
      <c r="F102" s="6">
        <f t="shared" si="42"/>
        <v>0</v>
      </c>
      <c r="G102" s="6">
        <f t="shared" si="42"/>
        <v>0</v>
      </c>
      <c r="H102" s="6">
        <f t="shared" si="42"/>
        <v>0</v>
      </c>
      <c r="I102" s="6">
        <f t="shared" si="42"/>
        <v>0</v>
      </c>
      <c r="J102" s="6">
        <f t="shared" si="42"/>
        <v>0</v>
      </c>
    </row>
    <row r="103" spans="1:11" x14ac:dyDescent="0.4">
      <c r="A103" s="4" t="s">
        <v>161</v>
      </c>
      <c r="C103" s="6">
        <f t="shared" ref="C103:J103" si="43">C97/(((1+C16)*(1+C16+(C104-C16)*1/5)*(1+C16+(C104-C16)*2/5)*(1+C16+(C104-C16)*3/5)*(1+C16+(C104-C16)*4/5))*(1+C104)^5)</f>
        <v>25.633967022331497</v>
      </c>
      <c r="D103" s="6">
        <f t="shared" si="43"/>
        <v>6.9734278619964218</v>
      </c>
      <c r="E103" s="6">
        <f t="shared" si="43"/>
        <v>1.3582301384683302</v>
      </c>
      <c r="F103" s="6">
        <f t="shared" si="43"/>
        <v>0</v>
      </c>
      <c r="G103" s="6">
        <f t="shared" si="43"/>
        <v>0</v>
      </c>
      <c r="H103" s="6">
        <f t="shared" si="43"/>
        <v>0</v>
      </c>
      <c r="I103" s="6">
        <f t="shared" si="43"/>
        <v>0</v>
      </c>
      <c r="J103" s="6">
        <f t="shared" si="43"/>
        <v>0</v>
      </c>
    </row>
    <row r="104" spans="1:11" x14ac:dyDescent="0.4">
      <c r="A104" s="4" t="s">
        <v>162</v>
      </c>
      <c r="C104" s="11">
        <f>MAX((Inputs!B18+((1+(1-Inputs!B22)*(Inputs!B36/(1-Inputs!B36)))/(1+(1-Inputs!B22)*0.25))*Inputs!B19+IF(ISBLANK(C17),Inputs!B24,C17)+Inputs!B25+Inputs!B39)*(1-Inputs!B36)+Inputs!B38*Inputs!B36,C15)</f>
        <v>9.5645461701702128E-2</v>
      </c>
      <c r="D104" s="11">
        <f>MAX((Inputs!B18+((1+(1-Inputs!B22)*(Inputs!B36/(1-Inputs!B36)))/(1+(1-Inputs!B22)*0.25))*Inputs!B19+IF(ISBLANK(D17),Inputs!B24,D17)+Inputs!B25+Inputs!B39)*(1-Inputs!B36)+Inputs!B38*Inputs!B36,D15)</f>
        <v>9.5645461701702128E-2</v>
      </c>
      <c r="E104" s="11">
        <f>MAX((Inputs!B18+((1+(1-Inputs!B22)*(Inputs!B36/(1-Inputs!B36)))/(1+(1-Inputs!B22)*0.25))*Inputs!B19+IF(ISBLANK(E17),Inputs!B24,E17)+Inputs!B25+Inputs!B39)*(1-Inputs!B36)+Inputs!B38*Inputs!B36,E15)</f>
        <v>9.5645461701702128E-2</v>
      </c>
      <c r="F104" s="11">
        <f>MAX((Inputs!B18+((1+(1-Inputs!B22)*(Inputs!B36/(1-Inputs!B36)))/(1+(1-Inputs!B22)*0.25))*Inputs!B19+IF(ISBLANK(F17),Inputs!B24,F17)+Inputs!B25+Inputs!B39)*(1-Inputs!B36)+Inputs!B38*Inputs!B36,F15)</f>
        <v>9.5645461701702128E-2</v>
      </c>
      <c r="G104" s="11">
        <f>MAX((Inputs!B18+((1+(1-Inputs!B22)*(Inputs!B36/(1-Inputs!B36)))/(1+(1-Inputs!B22)*0.25))*Inputs!B19+IF(ISBLANK(G17),Inputs!B24,G17)+Inputs!B25+Inputs!B39)*(1-Inputs!B36)+Inputs!B38*Inputs!B36,G15)</f>
        <v>9.5645461701702128E-2</v>
      </c>
      <c r="H104" s="11">
        <f>MAX((Inputs!B18+((1+(1-Inputs!B22)*(Inputs!B36/(1-Inputs!B36)))/(1+(1-Inputs!B22)*0.25))*Inputs!B19+IF(ISBLANK(H17),Inputs!B24,H17)+Inputs!B25+Inputs!B39)*(1-Inputs!B36)+Inputs!B38*Inputs!B36,H15)</f>
        <v>9.5645461701702128E-2</v>
      </c>
      <c r="I104" s="11">
        <f>MAX((Inputs!B18+((1+(1-Inputs!B22)*(Inputs!B36/(1-Inputs!B36)))/(1+(1-Inputs!B22)*0.25))*Inputs!B19+IF(ISBLANK(I17),Inputs!B24,I17)+Inputs!B25+Inputs!B39)*(1-Inputs!B36)+Inputs!B38*Inputs!B36,I15)</f>
        <v>9.5645461701702128E-2</v>
      </c>
      <c r="J104" s="11">
        <f>MAX((Inputs!B18+((1+(1-Inputs!B22)*(Inputs!B36/(1-Inputs!B36)))/(1+(1-Inputs!B22)*0.25))*Inputs!B19+IF(ISBLANK(J17),Inputs!B24,J17)+Inputs!B25+Inputs!B39)*(1-Inputs!B36)+Inputs!B38*Inputs!B36,J15)</f>
        <v>9.5645461701702128E-2</v>
      </c>
    </row>
    <row r="105" spans="1:11" x14ac:dyDescent="0.4">
      <c r="A105" s="4" t="s">
        <v>163</v>
      </c>
      <c r="C105" s="6">
        <f t="shared" ref="C105:J105" si="44">SUM(C57:C61,C99:C103)</f>
        <v>296.9284638967946</v>
      </c>
      <c r="D105" s="6">
        <f t="shared" si="44"/>
        <v>106.17842265994084</v>
      </c>
      <c r="E105" s="6">
        <f t="shared" si="44"/>
        <v>55.259310055373795</v>
      </c>
      <c r="F105" s="6">
        <f t="shared" si="44"/>
        <v>0</v>
      </c>
      <c r="G105" s="6">
        <f t="shared" si="44"/>
        <v>0</v>
      </c>
      <c r="H105" s="6">
        <f t="shared" si="44"/>
        <v>0</v>
      </c>
      <c r="I105" s="6">
        <f t="shared" si="44"/>
        <v>0</v>
      </c>
      <c r="J105" s="6">
        <f t="shared" si="44"/>
        <v>0</v>
      </c>
    </row>
    <row r="106" spans="1:11" x14ac:dyDescent="0.4">
      <c r="A106" s="4" t="s">
        <v>164</v>
      </c>
      <c r="C106" s="6">
        <f t="shared" ref="C106:J106" si="45">IF(C5=0,0,C97*(1+C13)/(C104-C13))</f>
        <v>925.68015724704844</v>
      </c>
      <c r="D106" s="6">
        <f t="shared" si="45"/>
        <v>219.77814382977434</v>
      </c>
      <c r="E106" s="6">
        <f t="shared" si="45"/>
        <v>49.047682984835561</v>
      </c>
      <c r="F106" s="6">
        <f t="shared" si="45"/>
        <v>0</v>
      </c>
      <c r="G106" s="6">
        <f t="shared" si="45"/>
        <v>0</v>
      </c>
      <c r="H106" s="6">
        <f t="shared" si="45"/>
        <v>0</v>
      </c>
      <c r="I106" s="6">
        <f t="shared" si="45"/>
        <v>0</v>
      </c>
      <c r="J106" s="6">
        <f t="shared" si="45"/>
        <v>0</v>
      </c>
    </row>
    <row r="107" spans="1:11" x14ac:dyDescent="0.4">
      <c r="A107" s="4" t="s">
        <v>165</v>
      </c>
      <c r="C107" s="6">
        <f t="shared" ref="C107:J107" si="46">C106/(((1+C16)*(1+C16+(C104-C16)*1/5)*(1+C16+(C104-C16)*2/5)*(1+C16+(C104-C16)*3/5)*(1+C16+(C104-C16)*4/5))*(1+C104)^5)</f>
        <v>367.62908506754434</v>
      </c>
      <c r="D107" s="6">
        <f t="shared" si="46"/>
        <v>86.869226014075508</v>
      </c>
      <c r="E107" s="6">
        <f t="shared" si="46"/>
        <v>19.479033529273106</v>
      </c>
      <c r="F107" s="6">
        <f t="shared" si="46"/>
        <v>0</v>
      </c>
      <c r="G107" s="6">
        <f t="shared" si="46"/>
        <v>0</v>
      </c>
      <c r="H107" s="6">
        <f t="shared" si="46"/>
        <v>0</v>
      </c>
      <c r="I107" s="6">
        <f t="shared" si="46"/>
        <v>0</v>
      </c>
      <c r="J107" s="6">
        <f t="shared" si="46"/>
        <v>0</v>
      </c>
    </row>
    <row r="109" spans="1:11" x14ac:dyDescent="0.4">
      <c r="A109" s="19" t="s">
        <v>166</v>
      </c>
      <c r="C109" s="20">
        <f t="shared" ref="C109:J109" si="47">C105+C107</f>
        <v>664.55754896433893</v>
      </c>
      <c r="D109" s="20">
        <f t="shared" si="47"/>
        <v>193.04764867401633</v>
      </c>
      <c r="E109" s="20">
        <f t="shared" si="47"/>
        <v>74.738343584646898</v>
      </c>
      <c r="F109" s="20">
        <f t="shared" si="47"/>
        <v>0</v>
      </c>
      <c r="G109" s="20">
        <f t="shared" si="47"/>
        <v>0</v>
      </c>
      <c r="H109" s="20">
        <f t="shared" si="47"/>
        <v>0</v>
      </c>
      <c r="I109" s="20">
        <f t="shared" si="47"/>
        <v>0</v>
      </c>
      <c r="J109" s="20">
        <f t="shared" si="47"/>
        <v>0</v>
      </c>
      <c r="K109" s="20">
        <f>SUM(C109:J109)</f>
        <v>932.34354122300226</v>
      </c>
    </row>
    <row r="110" spans="1:11" x14ac:dyDescent="0.4">
      <c r="A110" s="4" t="s">
        <v>167</v>
      </c>
      <c r="K110" s="11">
        <f>IFERROR(SUMPRODUCT(C109:J109,C16:J16)/SUM(C109:J109),0)</f>
        <v>9.9669656320174646E-2</v>
      </c>
    </row>
    <row r="111" spans="1:11" x14ac:dyDescent="0.4">
      <c r="A111" s="4" t="s">
        <v>168</v>
      </c>
      <c r="K111" s="5">
        <v>98.1</v>
      </c>
    </row>
    <row r="112" spans="1:11" x14ac:dyDescent="0.4">
      <c r="A112" s="4" t="s">
        <v>169</v>
      </c>
      <c r="K112" s="5">
        <v>10</v>
      </c>
    </row>
    <row r="113" spans="1:11" x14ac:dyDescent="0.4">
      <c r="A113" s="4" t="s">
        <v>170</v>
      </c>
      <c r="K113" s="5">
        <v>-101.6036253309582</v>
      </c>
    </row>
    <row r="114" spans="1:11" x14ac:dyDescent="0.4">
      <c r="A114" s="4" t="s">
        <v>171</v>
      </c>
      <c r="K114" s="5">
        <v>0</v>
      </c>
    </row>
    <row r="115" spans="1:11" x14ac:dyDescent="0.4">
      <c r="A115" s="4" t="s">
        <v>172</v>
      </c>
      <c r="K115" s="5">
        <v>0</v>
      </c>
    </row>
    <row r="116" spans="1:11" x14ac:dyDescent="0.4">
      <c r="A116" s="4" t="s">
        <v>173</v>
      </c>
      <c r="K116" s="5">
        <v>-5.75</v>
      </c>
    </row>
    <row r="117" spans="1:11" x14ac:dyDescent="0.4">
      <c r="A117" s="4" t="s">
        <v>174</v>
      </c>
      <c r="K117" s="5">
        <v>0</v>
      </c>
    </row>
    <row r="118" spans="1:11" x14ac:dyDescent="0.4">
      <c r="A118" s="4" t="s">
        <v>175</v>
      </c>
      <c r="K118" s="5">
        <v>0</v>
      </c>
    </row>
    <row r="119" spans="1:11" x14ac:dyDescent="0.4">
      <c r="A119" s="4" t="s">
        <v>176</v>
      </c>
      <c r="K119" s="20">
        <f>K109+K113+K114+K115+K116+K117+K118-K111-K112</f>
        <v>716.88991589204409</v>
      </c>
    </row>
    <row r="120" spans="1:11" x14ac:dyDescent="0.4">
      <c r="A120" s="4" t="s">
        <v>177</v>
      </c>
      <c r="K120" s="6">
        <f>Inputs!B11</f>
        <v>122.3</v>
      </c>
    </row>
    <row r="122" spans="1:11" ht="15.9" customHeight="1" x14ac:dyDescent="0.45">
      <c r="A122" s="4" t="s">
        <v>178</v>
      </c>
      <c r="K122" s="21">
        <f>K119/K120</f>
        <v>5.8617327546365017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122"/>
  <sheetViews>
    <sheetView workbookViewId="0"/>
  </sheetViews>
  <sheetFormatPr baseColWidth="10" defaultColWidth="9.23046875" defaultRowHeight="14.6" x14ac:dyDescent="0.4"/>
  <cols>
    <col min="1" max="1" width="30" customWidth="1"/>
    <col min="2" max="2" width="4" customWidth="1"/>
    <col min="3" max="11" width="14" customWidth="1"/>
  </cols>
  <sheetData>
    <row r="1" spans="1:11" ht="18.45" customHeight="1" x14ac:dyDescent="0.5">
      <c r="A1" s="1" t="s">
        <v>180</v>
      </c>
    </row>
    <row r="2" spans="1:11" x14ac:dyDescent="0.4">
      <c r="A2" s="2" t="s">
        <v>54</v>
      </c>
    </row>
    <row r="3" spans="1:11" x14ac:dyDescent="0.4">
      <c r="C3" s="13" t="s">
        <v>55</v>
      </c>
      <c r="D3" s="13" t="s">
        <v>56</v>
      </c>
      <c r="E3" s="13" t="s">
        <v>57</v>
      </c>
      <c r="F3" s="13" t="s">
        <v>58</v>
      </c>
      <c r="G3" s="13" t="s">
        <v>59</v>
      </c>
      <c r="H3" s="13" t="s">
        <v>60</v>
      </c>
      <c r="I3" s="13" t="s">
        <v>61</v>
      </c>
      <c r="J3" s="13" t="s">
        <v>62</v>
      </c>
      <c r="K3" s="13" t="s">
        <v>63</v>
      </c>
    </row>
    <row r="4" spans="1:11" x14ac:dyDescent="0.4">
      <c r="A4" s="4" t="s">
        <v>64</v>
      </c>
      <c r="C4" s="14" t="s">
        <v>55</v>
      </c>
      <c r="D4" s="14" t="s">
        <v>56</v>
      </c>
      <c r="E4" s="14" t="s">
        <v>57</v>
      </c>
      <c r="F4" s="14"/>
      <c r="G4" s="14"/>
      <c r="H4" s="14"/>
      <c r="I4" s="14"/>
      <c r="J4" s="14"/>
    </row>
    <row r="5" spans="1:11" x14ac:dyDescent="0.4">
      <c r="A5" s="4" t="s">
        <v>65</v>
      </c>
      <c r="C5" s="5">
        <v>442.3</v>
      </c>
      <c r="D5" s="5">
        <v>130.9</v>
      </c>
      <c r="E5" s="5">
        <v>257.7</v>
      </c>
      <c r="F5" s="5"/>
      <c r="G5" s="5"/>
      <c r="H5" s="5"/>
      <c r="I5" s="5"/>
      <c r="J5" s="5"/>
    </row>
    <row r="6" spans="1:11" x14ac:dyDescent="0.4">
      <c r="A6" s="4" t="s">
        <v>66</v>
      </c>
      <c r="C6" s="7">
        <v>-0.03</v>
      </c>
      <c r="D6" s="7">
        <v>-4.4798973006818392E-2</v>
      </c>
      <c r="E6" s="7">
        <v>-0.26479897300681837</v>
      </c>
      <c r="F6" s="7"/>
      <c r="G6" s="7"/>
      <c r="H6" s="7"/>
      <c r="I6" s="7"/>
      <c r="J6" s="7"/>
    </row>
    <row r="7" spans="1:11" x14ac:dyDescent="0.4">
      <c r="A7" s="4" t="s">
        <v>67</v>
      </c>
      <c r="C7" s="7">
        <v>7.4999999999999997E-2</v>
      </c>
      <c r="D7" s="7">
        <v>0.13463033198831131</v>
      </c>
      <c r="E7" s="7">
        <v>9.4630331988311334E-2</v>
      </c>
      <c r="F7" s="7"/>
      <c r="G7" s="7"/>
      <c r="H7" s="7"/>
      <c r="I7" s="7"/>
      <c r="J7" s="7"/>
    </row>
    <row r="8" spans="1:11" x14ac:dyDescent="0.4">
      <c r="A8" s="4" t="s">
        <v>68</v>
      </c>
      <c r="C8" s="15">
        <v>9.7000000000000003E-2</v>
      </c>
      <c r="D8" s="15">
        <v>0.14499999999999999</v>
      </c>
      <c r="E8" s="15">
        <v>0.126</v>
      </c>
      <c r="F8" s="15"/>
      <c r="G8" s="15"/>
      <c r="H8" s="15"/>
      <c r="I8" s="15"/>
      <c r="J8" s="15"/>
    </row>
    <row r="9" spans="1:11" x14ac:dyDescent="0.4">
      <c r="A9" s="4" t="s">
        <v>69</v>
      </c>
      <c r="C9" s="7">
        <v>9.4630331988311334E-2</v>
      </c>
      <c r="D9" s="7">
        <v>0.15</v>
      </c>
      <c r="E9" s="7">
        <v>9.4630331988311334E-2</v>
      </c>
      <c r="F9" s="7"/>
      <c r="G9" s="7"/>
      <c r="H9" s="7"/>
      <c r="I9" s="7"/>
      <c r="J9" s="7"/>
    </row>
    <row r="10" spans="1:11" x14ac:dyDescent="0.4">
      <c r="A10" s="4" t="s">
        <v>70</v>
      </c>
      <c r="C10" s="7">
        <v>9.8000000000000004E-2</v>
      </c>
      <c r="D10" s="7">
        <v>8.9999999999999993E-3</v>
      </c>
      <c r="E10" s="7">
        <v>0.03</v>
      </c>
      <c r="F10" s="7"/>
      <c r="G10" s="7"/>
      <c r="H10" s="7"/>
      <c r="I10" s="7"/>
      <c r="J10" s="7"/>
    </row>
    <row r="11" spans="1:11" x14ac:dyDescent="0.4">
      <c r="A11" s="4" t="s">
        <v>71</v>
      </c>
      <c r="C11" s="7">
        <v>7.4999999999999997E-2</v>
      </c>
      <c r="D11" s="7">
        <v>1.4E-2</v>
      </c>
      <c r="E11" s="7">
        <v>3.5000000000000003E-2</v>
      </c>
      <c r="F11" s="7"/>
      <c r="G11" s="7"/>
      <c r="H11" s="7"/>
      <c r="I11" s="7"/>
      <c r="J11" s="7"/>
    </row>
    <row r="12" spans="1:11" x14ac:dyDescent="0.4">
      <c r="A12" s="4" t="s">
        <v>72</v>
      </c>
      <c r="C12" s="7">
        <v>2.3E-2</v>
      </c>
      <c r="D12" s="7">
        <v>0</v>
      </c>
      <c r="E12" s="7">
        <v>0</v>
      </c>
      <c r="F12" s="7"/>
      <c r="G12" s="7"/>
      <c r="H12" s="7"/>
      <c r="I12" s="7"/>
      <c r="J12" s="7"/>
    </row>
    <row r="13" spans="1:11" x14ac:dyDescent="0.4">
      <c r="A13" s="4" t="s">
        <v>73</v>
      </c>
      <c r="C13" s="7">
        <v>1.365758299707783E-2</v>
      </c>
      <c r="D13" s="7">
        <v>3.6575829970778352E-3</v>
      </c>
      <c r="E13" s="7">
        <v>1.365758299707783E-2</v>
      </c>
      <c r="F13" s="7"/>
      <c r="G13" s="7"/>
      <c r="H13" s="7"/>
      <c r="I13" s="7"/>
      <c r="J13" s="7"/>
    </row>
    <row r="14" spans="1:11" x14ac:dyDescent="0.4">
      <c r="A14" s="4" t="s">
        <v>74</v>
      </c>
      <c r="C14" s="9">
        <v>1.0149999999999999</v>
      </c>
      <c r="D14" s="9">
        <v>1.06575</v>
      </c>
      <c r="E14" s="9">
        <v>1.0149999999999999</v>
      </c>
      <c r="F14" s="9"/>
      <c r="G14" s="9"/>
      <c r="H14" s="9"/>
      <c r="I14" s="9"/>
      <c r="J14" s="9"/>
    </row>
    <row r="15" spans="1:11" x14ac:dyDescent="0.4">
      <c r="A15" s="4" t="s">
        <v>75</v>
      </c>
      <c r="C15" s="7">
        <v>0</v>
      </c>
      <c r="D15" s="7">
        <v>0</v>
      </c>
      <c r="E15" s="7">
        <v>0</v>
      </c>
      <c r="F15" s="7"/>
      <c r="G15" s="7"/>
      <c r="H15" s="7"/>
      <c r="I15" s="7"/>
      <c r="J15" s="7"/>
    </row>
    <row r="16" spans="1:11" x14ac:dyDescent="0.4">
      <c r="A16" s="4" t="s">
        <v>76</v>
      </c>
      <c r="C16" s="11">
        <f>MAX((MAX(Inputs!B18+((1-0.33)*C14*(1+(1-Inputs!B22)*Inputs!B21)+0.33)*Inputs!B19+IF(ISBLANK(C17),Inputs!B24,C17)+Inputs!B25+Inputs!B39,MIN(Inputs!B27,0.08)+0.025))*Inputs!B29+Inputs!B28*Inputs!B30,C15)</f>
        <v>9.9308574608679395E-2</v>
      </c>
      <c r="D16" s="11">
        <f>MAX((MAX(Inputs!B18+((1-0.33)*D14*(1+(1-Inputs!B22)*Inputs!B21)+0.33)*Inputs!B19+IF(ISBLANK(D17),Inputs!B24,D17)+Inputs!B25+Inputs!B39,MIN(Inputs!B27,0.08)+0.025))*Inputs!B29+Inputs!B28*Inputs!B30,D15)</f>
        <v>0.10105245599692068</v>
      </c>
      <c r="E16" s="11">
        <f>MAX((MAX(Inputs!B18+((1-0.33)*E14*(1+(1-Inputs!B22)*Inputs!B21)+0.33)*Inputs!B19+IF(ISBLANK(E17),Inputs!B24,E17)+Inputs!B25+Inputs!B39,MIN(Inputs!B27,0.08)+0.025))*Inputs!B29+Inputs!B28*Inputs!B30,E15)</f>
        <v>9.9308574608679395E-2</v>
      </c>
      <c r="F16" s="11">
        <f>MAX((MAX(Inputs!B18+((1-0.33)*F14*(1+(1-Inputs!B22)*Inputs!B21)+0.33)*Inputs!B19+IF(ISBLANK(F17),Inputs!B24,F17)+Inputs!B25+Inputs!B39,MIN(Inputs!B27,0.08)+0.025))*Inputs!B29+Inputs!B28*Inputs!B30,F15)</f>
        <v>6.7873421926910302E-2</v>
      </c>
      <c r="G16" s="11">
        <f>MAX((MAX(Inputs!B18+((1-0.33)*G14*(1+(1-Inputs!B22)*Inputs!B21)+0.33)*Inputs!B19+IF(ISBLANK(G17),Inputs!B24,G17)+Inputs!B25+Inputs!B39,MIN(Inputs!B27,0.08)+0.025))*Inputs!B29+Inputs!B28*Inputs!B30,G15)</f>
        <v>6.7873421926910302E-2</v>
      </c>
      <c r="H16" s="11">
        <f>MAX((MAX(Inputs!B18+((1-0.33)*H14*(1+(1-Inputs!B22)*Inputs!B21)+0.33)*Inputs!B19+IF(ISBLANK(H17),Inputs!B24,H17)+Inputs!B25+Inputs!B39,MIN(Inputs!B27,0.08)+0.025))*Inputs!B29+Inputs!B28*Inputs!B30,H15)</f>
        <v>6.7873421926910302E-2</v>
      </c>
      <c r="I16" s="11">
        <f>MAX((MAX(Inputs!B18+((1-0.33)*I14*(1+(1-Inputs!B22)*Inputs!B21)+0.33)*Inputs!B19+IF(ISBLANK(I17),Inputs!B24,I17)+Inputs!B25+Inputs!B39,MIN(Inputs!B27,0.08)+0.025))*Inputs!B29+Inputs!B28*Inputs!B30,I15)</f>
        <v>6.7873421926910302E-2</v>
      </c>
      <c r="J16" s="11">
        <f>MAX((MAX(Inputs!B18+((1-0.33)*J14*(1+(1-Inputs!B22)*Inputs!B21)+0.33)*Inputs!B19+IF(ISBLANK(J17),Inputs!B24,J17)+Inputs!B25+Inputs!B39,MIN(Inputs!B27,0.08)+0.025))*Inputs!B29+Inputs!B28*Inputs!B30,J15)</f>
        <v>6.7873421926910302E-2</v>
      </c>
    </row>
    <row r="17" spans="1:10" x14ac:dyDescent="0.4">
      <c r="A17" s="16" t="s">
        <v>77</v>
      </c>
      <c r="C17" s="7"/>
      <c r="D17" s="7"/>
      <c r="E17" s="7"/>
      <c r="F17" s="7"/>
      <c r="G17" s="7"/>
      <c r="H17" s="7"/>
      <c r="I17" s="7"/>
      <c r="J17" s="7"/>
    </row>
    <row r="18" spans="1:10" ht="40" customHeight="1" x14ac:dyDescent="0.4">
      <c r="A18" s="17" t="s">
        <v>78</v>
      </c>
      <c r="C18" s="18" t="s">
        <v>79</v>
      </c>
      <c r="D18" s="18" t="s">
        <v>80</v>
      </c>
      <c r="E18" s="18" t="s">
        <v>81</v>
      </c>
      <c r="F18" s="18"/>
      <c r="G18" s="18"/>
      <c r="H18" s="18"/>
      <c r="I18" s="18"/>
      <c r="J18" s="18"/>
    </row>
    <row r="19" spans="1:10" ht="40" customHeight="1" x14ac:dyDescent="0.4">
      <c r="A19" s="17" t="s">
        <v>82</v>
      </c>
      <c r="C19" s="18" t="s">
        <v>83</v>
      </c>
      <c r="D19" s="18" t="s">
        <v>84</v>
      </c>
      <c r="E19" s="18" t="s">
        <v>85</v>
      </c>
      <c r="F19" s="18"/>
      <c r="G19" s="18"/>
      <c r="H19" s="18"/>
      <c r="I19" s="18"/>
      <c r="J19" s="18"/>
    </row>
    <row r="20" spans="1:10" ht="28" customHeight="1" x14ac:dyDescent="0.4">
      <c r="A20" s="17" t="s">
        <v>86</v>
      </c>
      <c r="C20" s="18" t="s">
        <v>87</v>
      </c>
      <c r="D20" s="18" t="s">
        <v>88</v>
      </c>
      <c r="E20" s="18" t="s">
        <v>89</v>
      </c>
      <c r="F20" s="18"/>
      <c r="G20" s="18"/>
      <c r="H20" s="18"/>
      <c r="I20" s="18"/>
      <c r="J20" s="18"/>
    </row>
    <row r="21" spans="1:10" x14ac:dyDescent="0.4">
      <c r="A21" s="4" t="s">
        <v>90</v>
      </c>
      <c r="C21" s="6">
        <f t="shared" ref="C21:J21" si="0">C5*(1+C6)^1</f>
        <v>429.03100000000001</v>
      </c>
      <c r="D21" s="6">
        <f t="shared" si="0"/>
        <v>125.03581443340748</v>
      </c>
      <c r="E21" s="6">
        <f t="shared" si="0"/>
        <v>189.46130465614291</v>
      </c>
      <c r="F21" s="6">
        <f t="shared" si="0"/>
        <v>0</v>
      </c>
      <c r="G21" s="6">
        <f t="shared" si="0"/>
        <v>0</v>
      </c>
      <c r="H21" s="6">
        <f t="shared" si="0"/>
        <v>0</v>
      </c>
      <c r="I21" s="6">
        <f t="shared" si="0"/>
        <v>0</v>
      </c>
      <c r="J21" s="6">
        <f t="shared" si="0"/>
        <v>0</v>
      </c>
    </row>
    <row r="22" spans="1:10" x14ac:dyDescent="0.4">
      <c r="A22" s="4" t="s">
        <v>91</v>
      </c>
      <c r="C22" s="6">
        <f t="shared" ref="C22:J22" si="1">C5*(1+C6)^2</f>
        <v>416.16007000000002</v>
      </c>
      <c r="D22" s="6">
        <f t="shared" si="1"/>
        <v>119.43433835771971</v>
      </c>
      <c r="E22" s="6">
        <f t="shared" si="1"/>
        <v>139.29214575866436</v>
      </c>
      <c r="F22" s="6">
        <f t="shared" si="1"/>
        <v>0</v>
      </c>
      <c r="G22" s="6">
        <f t="shared" si="1"/>
        <v>0</v>
      </c>
      <c r="H22" s="6">
        <f t="shared" si="1"/>
        <v>0</v>
      </c>
      <c r="I22" s="6">
        <f t="shared" si="1"/>
        <v>0</v>
      </c>
      <c r="J22" s="6">
        <f t="shared" si="1"/>
        <v>0</v>
      </c>
    </row>
    <row r="23" spans="1:10" x14ac:dyDescent="0.4">
      <c r="A23" s="4" t="s">
        <v>92</v>
      </c>
      <c r="C23" s="6">
        <f t="shared" ref="C23:J23" si="2">C5*(1+C6)^3</f>
        <v>403.67526789999999</v>
      </c>
      <c r="D23" s="6">
        <f t="shared" si="2"/>
        <v>114.08380265754501</v>
      </c>
      <c r="E23" s="6">
        <f t="shared" si="2"/>
        <v>102.40772861385398</v>
      </c>
      <c r="F23" s="6">
        <f t="shared" si="2"/>
        <v>0</v>
      </c>
      <c r="G23" s="6">
        <f t="shared" si="2"/>
        <v>0</v>
      </c>
      <c r="H23" s="6">
        <f t="shared" si="2"/>
        <v>0</v>
      </c>
      <c r="I23" s="6">
        <f t="shared" si="2"/>
        <v>0</v>
      </c>
      <c r="J23" s="6">
        <f t="shared" si="2"/>
        <v>0</v>
      </c>
    </row>
    <row r="24" spans="1:10" x14ac:dyDescent="0.4">
      <c r="A24" s="4" t="s">
        <v>93</v>
      </c>
      <c r="C24" s="6">
        <f t="shared" ref="C24:J24" si="3">C5*(1+C6)^4</f>
        <v>391.565009863</v>
      </c>
      <c r="D24" s="6">
        <f t="shared" si="3"/>
        <v>108.97296546177446</v>
      </c>
      <c r="E24" s="6">
        <f t="shared" si="3"/>
        <v>75.290267248944488</v>
      </c>
      <c r="F24" s="6">
        <f t="shared" si="3"/>
        <v>0</v>
      </c>
      <c r="G24" s="6">
        <f t="shared" si="3"/>
        <v>0</v>
      </c>
      <c r="H24" s="6">
        <f t="shared" si="3"/>
        <v>0</v>
      </c>
      <c r="I24" s="6">
        <f t="shared" si="3"/>
        <v>0</v>
      </c>
      <c r="J24" s="6">
        <f t="shared" si="3"/>
        <v>0</v>
      </c>
    </row>
    <row r="25" spans="1:10" x14ac:dyDescent="0.4">
      <c r="A25" s="4" t="s">
        <v>94</v>
      </c>
      <c r="C25" s="6">
        <f t="shared" ref="C25:J25" si="4">C5*(1+C6)^5</f>
        <v>379.81805956710997</v>
      </c>
      <c r="D25" s="6">
        <f t="shared" si="4"/>
        <v>104.09108852357947</v>
      </c>
      <c r="E25" s="6">
        <f t="shared" si="4"/>
        <v>55.353481804015104</v>
      </c>
      <c r="F25" s="6">
        <f t="shared" si="4"/>
        <v>0</v>
      </c>
      <c r="G25" s="6">
        <f t="shared" si="4"/>
        <v>0</v>
      </c>
      <c r="H25" s="6">
        <f t="shared" si="4"/>
        <v>0</v>
      </c>
      <c r="I25" s="6">
        <f t="shared" si="4"/>
        <v>0</v>
      </c>
      <c r="J25" s="6">
        <f t="shared" si="4"/>
        <v>0</v>
      </c>
    </row>
    <row r="26" spans="1:10" x14ac:dyDescent="0.4">
      <c r="A26" s="4" t="s">
        <v>95</v>
      </c>
      <c r="C26" s="7">
        <v>5.0000000000000001E-3</v>
      </c>
      <c r="D26" s="7"/>
      <c r="E26" s="7">
        <v>0.02</v>
      </c>
      <c r="F26" s="7"/>
      <c r="G26" s="7"/>
      <c r="H26" s="7"/>
      <c r="I26" s="7"/>
      <c r="J26" s="7"/>
    </row>
    <row r="27" spans="1:10" x14ac:dyDescent="0.4">
      <c r="A27" s="4" t="s">
        <v>96</v>
      </c>
      <c r="C27" s="11">
        <f t="shared" ref="C27:J27" si="5">IF(ISBLANK(C9),C7,C7+(C9-C7)*(0)/4)</f>
        <v>7.4999999999999997E-2</v>
      </c>
      <c r="D27" s="11">
        <f t="shared" si="5"/>
        <v>0.13463033198831131</v>
      </c>
      <c r="E27" s="11">
        <f t="shared" si="5"/>
        <v>9.4630331988311334E-2</v>
      </c>
      <c r="F27" s="11">
        <f t="shared" si="5"/>
        <v>0</v>
      </c>
      <c r="G27" s="11">
        <f t="shared" si="5"/>
        <v>0</v>
      </c>
      <c r="H27" s="11">
        <f t="shared" si="5"/>
        <v>0</v>
      </c>
      <c r="I27" s="11">
        <f t="shared" si="5"/>
        <v>0</v>
      </c>
      <c r="J27" s="11">
        <f t="shared" si="5"/>
        <v>0</v>
      </c>
    </row>
    <row r="28" spans="1:10" x14ac:dyDescent="0.4">
      <c r="A28" s="4" t="s">
        <v>97</v>
      </c>
      <c r="C28" s="11">
        <f t="shared" ref="C28:J28" si="6">IF(ISBLANK(C9),C7,C7+(C9-C7)*(1)/4)</f>
        <v>7.9907582997077828E-2</v>
      </c>
      <c r="D28" s="11">
        <f t="shared" si="6"/>
        <v>0.13847274899123349</v>
      </c>
      <c r="E28" s="11">
        <f t="shared" si="6"/>
        <v>9.4630331988311334E-2</v>
      </c>
      <c r="F28" s="11">
        <f t="shared" si="6"/>
        <v>0</v>
      </c>
      <c r="G28" s="11">
        <f t="shared" si="6"/>
        <v>0</v>
      </c>
      <c r="H28" s="11">
        <f t="shared" si="6"/>
        <v>0</v>
      </c>
      <c r="I28" s="11">
        <f t="shared" si="6"/>
        <v>0</v>
      </c>
      <c r="J28" s="11">
        <f t="shared" si="6"/>
        <v>0</v>
      </c>
    </row>
    <row r="29" spans="1:10" x14ac:dyDescent="0.4">
      <c r="A29" s="4" t="s">
        <v>98</v>
      </c>
      <c r="C29" s="11">
        <f t="shared" ref="C29:J29" si="7">IF(ISBLANK(C9),C7,C7+(C9-C7)*(2)/4)</f>
        <v>8.4815165994155672E-2</v>
      </c>
      <c r="D29" s="11">
        <f t="shared" si="7"/>
        <v>0.14231516599415567</v>
      </c>
      <c r="E29" s="11">
        <f t="shared" si="7"/>
        <v>9.4630331988311334E-2</v>
      </c>
      <c r="F29" s="11">
        <f t="shared" si="7"/>
        <v>0</v>
      </c>
      <c r="G29" s="11">
        <f t="shared" si="7"/>
        <v>0</v>
      </c>
      <c r="H29" s="11">
        <f t="shared" si="7"/>
        <v>0</v>
      </c>
      <c r="I29" s="11">
        <f t="shared" si="7"/>
        <v>0</v>
      </c>
      <c r="J29" s="11">
        <f t="shared" si="7"/>
        <v>0</v>
      </c>
    </row>
    <row r="30" spans="1:10" x14ac:dyDescent="0.4">
      <c r="A30" s="4" t="s">
        <v>99</v>
      </c>
      <c r="C30" s="11">
        <f t="shared" ref="C30:J30" si="8">IF(ISBLANK(C9),C7,C7+(C9-C7)*(3)/4)</f>
        <v>8.9722748991233503E-2</v>
      </c>
      <c r="D30" s="11">
        <f t="shared" si="8"/>
        <v>0.14615758299707782</v>
      </c>
      <c r="E30" s="11">
        <f t="shared" si="8"/>
        <v>9.4630331988311334E-2</v>
      </c>
      <c r="F30" s="11">
        <f t="shared" si="8"/>
        <v>0</v>
      </c>
      <c r="G30" s="11">
        <f t="shared" si="8"/>
        <v>0</v>
      </c>
      <c r="H30" s="11">
        <f t="shared" si="8"/>
        <v>0</v>
      </c>
      <c r="I30" s="11">
        <f t="shared" si="8"/>
        <v>0</v>
      </c>
      <c r="J30" s="11">
        <f t="shared" si="8"/>
        <v>0</v>
      </c>
    </row>
    <row r="31" spans="1:10" x14ac:dyDescent="0.4">
      <c r="A31" s="4" t="s">
        <v>100</v>
      </c>
      <c r="C31" s="11">
        <f t="shared" ref="C31:J31" si="9">IF(ISBLANK(C9),C7,C7+(C9-C7)*(4)/4)</f>
        <v>9.4630331988311334E-2</v>
      </c>
      <c r="D31" s="11">
        <f t="shared" si="9"/>
        <v>0.15</v>
      </c>
      <c r="E31" s="11">
        <f t="shared" si="9"/>
        <v>9.4630331988311334E-2</v>
      </c>
      <c r="F31" s="11">
        <f t="shared" si="9"/>
        <v>0</v>
      </c>
      <c r="G31" s="11">
        <f t="shared" si="9"/>
        <v>0</v>
      </c>
      <c r="H31" s="11">
        <f t="shared" si="9"/>
        <v>0</v>
      </c>
      <c r="I31" s="11">
        <f t="shared" si="9"/>
        <v>0</v>
      </c>
      <c r="J31" s="11">
        <f t="shared" si="9"/>
        <v>0</v>
      </c>
    </row>
    <row r="33" spans="1:10" x14ac:dyDescent="0.4">
      <c r="A33" s="4" t="s">
        <v>101</v>
      </c>
      <c r="C33" s="6">
        <f t="shared" ref="C33:J37" si="10">C21*C27</f>
        <v>32.177324999999996</v>
      </c>
      <c r="D33" s="6">
        <f t="shared" si="10"/>
        <v>16.833613207598535</v>
      </c>
      <c r="E33" s="6">
        <f t="shared" si="10"/>
        <v>17.9287861585494</v>
      </c>
      <c r="F33" s="6">
        <f t="shared" si="10"/>
        <v>0</v>
      </c>
      <c r="G33" s="6">
        <f t="shared" si="10"/>
        <v>0</v>
      </c>
      <c r="H33" s="6">
        <f t="shared" si="10"/>
        <v>0</v>
      </c>
      <c r="I33" s="6">
        <f t="shared" si="10"/>
        <v>0</v>
      </c>
      <c r="J33" s="6">
        <f t="shared" si="10"/>
        <v>0</v>
      </c>
    </row>
    <row r="34" spans="1:10" x14ac:dyDescent="0.4">
      <c r="A34" s="4" t="s">
        <v>102</v>
      </c>
      <c r="C34" s="6">
        <f t="shared" si="10"/>
        <v>33.254345333594721</v>
      </c>
      <c r="D34" s="6">
        <f t="shared" si="10"/>
        <v>16.538401156342573</v>
      </c>
      <c r="E34" s="6">
        <f t="shared" si="10"/>
        <v>13.181261996506661</v>
      </c>
      <c r="F34" s="6">
        <f t="shared" si="10"/>
        <v>0</v>
      </c>
      <c r="G34" s="6">
        <f t="shared" si="10"/>
        <v>0</v>
      </c>
      <c r="H34" s="6">
        <f t="shared" si="10"/>
        <v>0</v>
      </c>
      <c r="I34" s="6">
        <f t="shared" si="10"/>
        <v>0</v>
      </c>
      <c r="J34" s="6">
        <f t="shared" si="10"/>
        <v>0</v>
      </c>
    </row>
    <row r="35" spans="1:10" x14ac:dyDescent="0.4">
      <c r="A35" s="4" t="s">
        <v>103</v>
      </c>
      <c r="C35" s="6">
        <f t="shared" si="10"/>
        <v>34.237784854673762</v>
      </c>
      <c r="D35" s="6">
        <f t="shared" si="10"/>
        <v>16.235855312453015</v>
      </c>
      <c r="E35" s="6">
        <f t="shared" si="10"/>
        <v>9.6908773568978912</v>
      </c>
      <c r="F35" s="6">
        <f t="shared" si="10"/>
        <v>0</v>
      </c>
      <c r="G35" s="6">
        <f t="shared" si="10"/>
        <v>0</v>
      </c>
      <c r="H35" s="6">
        <f t="shared" si="10"/>
        <v>0</v>
      </c>
      <c r="I35" s="6">
        <f t="shared" si="10"/>
        <v>0</v>
      </c>
      <c r="J35" s="6">
        <f t="shared" si="10"/>
        <v>0</v>
      </c>
    </row>
    <row r="36" spans="1:10" x14ac:dyDescent="0.4">
      <c r="A36" s="4" t="s">
        <v>104</v>
      </c>
      <c r="C36" s="6">
        <f t="shared" si="10"/>
        <v>35.132289093687817</v>
      </c>
      <c r="D36" s="6">
        <f t="shared" si="10"/>
        <v>15.927225243916995</v>
      </c>
      <c r="E36" s="6">
        <f t="shared" si="10"/>
        <v>7.1247429852563009</v>
      </c>
      <c r="F36" s="6">
        <f t="shared" si="10"/>
        <v>0</v>
      </c>
      <c r="G36" s="6">
        <f t="shared" si="10"/>
        <v>0</v>
      </c>
      <c r="H36" s="6">
        <f t="shared" si="10"/>
        <v>0</v>
      </c>
      <c r="I36" s="6">
        <f t="shared" si="10"/>
        <v>0</v>
      </c>
      <c r="J36" s="6">
        <f t="shared" si="10"/>
        <v>0</v>
      </c>
    </row>
    <row r="37" spans="1:10" x14ac:dyDescent="0.4">
      <c r="A37" s="4" t="s">
        <v>105</v>
      </c>
      <c r="C37" s="6">
        <f t="shared" si="10"/>
        <v>35.942309071991829</v>
      </c>
      <c r="D37" s="6">
        <f t="shared" si="10"/>
        <v>15.61366327853692</v>
      </c>
      <c r="E37" s="6">
        <f t="shared" si="10"/>
        <v>5.2381183598228995</v>
      </c>
      <c r="F37" s="6">
        <f t="shared" si="10"/>
        <v>0</v>
      </c>
      <c r="G37" s="6">
        <f t="shared" si="10"/>
        <v>0</v>
      </c>
      <c r="H37" s="6">
        <f t="shared" si="10"/>
        <v>0</v>
      </c>
      <c r="I37" s="6">
        <f t="shared" si="10"/>
        <v>0</v>
      </c>
      <c r="J37" s="6">
        <f t="shared" si="10"/>
        <v>0</v>
      </c>
    </row>
    <row r="39" spans="1:10" x14ac:dyDescent="0.4">
      <c r="A39" s="4" t="s">
        <v>106</v>
      </c>
      <c r="C39" s="6">
        <f>C33*(1-Inputs!B22)</f>
        <v>22.524127499999995</v>
      </c>
      <c r="D39" s="6">
        <f>D33*(1-Inputs!B22)</f>
        <v>11.783529245318974</v>
      </c>
      <c r="E39" s="6">
        <f>E33*(1-Inputs!B22)</f>
        <v>12.550150310984579</v>
      </c>
      <c r="F39" s="6">
        <f>F33*(1-Inputs!B22)</f>
        <v>0</v>
      </c>
      <c r="G39" s="6">
        <f>G33*(1-Inputs!B22)</f>
        <v>0</v>
      </c>
      <c r="H39" s="6">
        <f>H33*(1-Inputs!B22)</f>
        <v>0</v>
      </c>
      <c r="I39" s="6">
        <f>I33*(1-Inputs!B22)</f>
        <v>0</v>
      </c>
      <c r="J39" s="6">
        <f>J33*(1-Inputs!B22)</f>
        <v>0</v>
      </c>
    </row>
    <row r="40" spans="1:10" x14ac:dyDescent="0.4">
      <c r="A40" s="4" t="s">
        <v>107</v>
      </c>
      <c r="C40" s="6">
        <f>C34*(1-Inputs!B22)</f>
        <v>23.278041733516304</v>
      </c>
      <c r="D40" s="6">
        <f>D34*(1-Inputs!B22)</f>
        <v>11.5768808094398</v>
      </c>
      <c r="E40" s="6">
        <f>E34*(1-Inputs!B22)</f>
        <v>9.226883397554662</v>
      </c>
      <c r="F40" s="6">
        <f>F34*(1-Inputs!B22)</f>
        <v>0</v>
      </c>
      <c r="G40" s="6">
        <f>G34*(1-Inputs!B22)</f>
        <v>0</v>
      </c>
      <c r="H40" s="6">
        <f>H34*(1-Inputs!B22)</f>
        <v>0</v>
      </c>
      <c r="I40" s="6">
        <f>I34*(1-Inputs!B22)</f>
        <v>0</v>
      </c>
      <c r="J40" s="6">
        <f>J34*(1-Inputs!B22)</f>
        <v>0</v>
      </c>
    </row>
    <row r="41" spans="1:10" x14ac:dyDescent="0.4">
      <c r="A41" s="4" t="s">
        <v>108</v>
      </c>
      <c r="C41" s="6">
        <f>C35*(1-Inputs!B22)</f>
        <v>23.966449398271632</v>
      </c>
      <c r="D41" s="6">
        <f>D35*(1-Inputs!B22)</f>
        <v>11.36509871871711</v>
      </c>
      <c r="E41" s="6">
        <f>E35*(1-Inputs!B22)</f>
        <v>6.7836141498285238</v>
      </c>
      <c r="F41" s="6">
        <f>F35*(1-Inputs!B22)</f>
        <v>0</v>
      </c>
      <c r="G41" s="6">
        <f>G35*(1-Inputs!B22)</f>
        <v>0</v>
      </c>
      <c r="H41" s="6">
        <f>H35*(1-Inputs!B22)</f>
        <v>0</v>
      </c>
      <c r="I41" s="6">
        <f>I35*(1-Inputs!B22)</f>
        <v>0</v>
      </c>
      <c r="J41" s="6">
        <f>J35*(1-Inputs!B22)</f>
        <v>0</v>
      </c>
    </row>
    <row r="42" spans="1:10" x14ac:dyDescent="0.4">
      <c r="A42" s="4" t="s">
        <v>109</v>
      </c>
      <c r="C42" s="6">
        <f>C36*(1-Inputs!B22)</f>
        <v>24.59260236558147</v>
      </c>
      <c r="D42" s="6">
        <f>D36*(1-Inputs!B22)</f>
        <v>11.149057670741897</v>
      </c>
      <c r="E42" s="6">
        <f>E36*(1-Inputs!B22)</f>
        <v>4.9873200896794101</v>
      </c>
      <c r="F42" s="6">
        <f>F36*(1-Inputs!B22)</f>
        <v>0</v>
      </c>
      <c r="G42" s="6">
        <f>G36*(1-Inputs!B22)</f>
        <v>0</v>
      </c>
      <c r="H42" s="6">
        <f>H36*(1-Inputs!B22)</f>
        <v>0</v>
      </c>
      <c r="I42" s="6">
        <f>I36*(1-Inputs!B22)</f>
        <v>0</v>
      </c>
      <c r="J42" s="6">
        <f>J36*(1-Inputs!B22)</f>
        <v>0</v>
      </c>
    </row>
    <row r="43" spans="1:10" x14ac:dyDescent="0.4">
      <c r="A43" s="4" t="s">
        <v>110</v>
      </c>
      <c r="C43" s="6">
        <f>C37*(1-Inputs!B22)</f>
        <v>25.15961635039428</v>
      </c>
      <c r="D43" s="6">
        <f>D37*(1-Inputs!B22)</f>
        <v>10.929564294975844</v>
      </c>
      <c r="E43" s="6">
        <f>E37*(1-Inputs!B22)</f>
        <v>3.6666828518760295</v>
      </c>
      <c r="F43" s="6">
        <f>F37*(1-Inputs!B22)</f>
        <v>0</v>
      </c>
      <c r="G43" s="6">
        <f>G37*(1-Inputs!B22)</f>
        <v>0</v>
      </c>
      <c r="H43" s="6">
        <f>H37*(1-Inputs!B22)</f>
        <v>0</v>
      </c>
      <c r="I43" s="6">
        <f>I37*(1-Inputs!B22)</f>
        <v>0</v>
      </c>
      <c r="J43" s="6">
        <f>J37*(1-Inputs!B22)</f>
        <v>0</v>
      </c>
    </row>
    <row r="45" spans="1:10" x14ac:dyDescent="0.4">
      <c r="A45" s="4" t="s">
        <v>111</v>
      </c>
      <c r="C45" s="6">
        <f t="shared" ref="C45:J45" si="11">C21*IF(ISBLANK(C26),C12,C12+(C26-C12)*(0)/4)</f>
        <v>9.8677130000000002</v>
      </c>
      <c r="D45" s="6">
        <f t="shared" si="11"/>
        <v>0</v>
      </c>
      <c r="E45" s="6">
        <f t="shared" si="11"/>
        <v>0</v>
      </c>
      <c r="F45" s="6">
        <f t="shared" si="11"/>
        <v>0</v>
      </c>
      <c r="G45" s="6">
        <f t="shared" si="11"/>
        <v>0</v>
      </c>
      <c r="H45" s="6">
        <f t="shared" si="11"/>
        <v>0</v>
      </c>
      <c r="I45" s="6">
        <f t="shared" si="11"/>
        <v>0</v>
      </c>
      <c r="J45" s="6">
        <f t="shared" si="11"/>
        <v>0</v>
      </c>
    </row>
    <row r="46" spans="1:10" x14ac:dyDescent="0.4">
      <c r="A46" s="4" t="s">
        <v>112</v>
      </c>
      <c r="C46" s="6">
        <f t="shared" ref="C46:J46" si="12">C22*IF(ISBLANK(C26),C12,C12+(C26-C12)*(1)/4)</f>
        <v>7.6989612950000001</v>
      </c>
      <c r="D46" s="6">
        <f t="shared" si="12"/>
        <v>0</v>
      </c>
      <c r="E46" s="6">
        <f t="shared" si="12"/>
        <v>0.69646072879332177</v>
      </c>
      <c r="F46" s="6">
        <f t="shared" si="12"/>
        <v>0</v>
      </c>
      <c r="G46" s="6">
        <f t="shared" si="12"/>
        <v>0</v>
      </c>
      <c r="H46" s="6">
        <f t="shared" si="12"/>
        <v>0</v>
      </c>
      <c r="I46" s="6">
        <f t="shared" si="12"/>
        <v>0</v>
      </c>
      <c r="J46" s="6">
        <f t="shared" si="12"/>
        <v>0</v>
      </c>
    </row>
    <row r="47" spans="1:10" x14ac:dyDescent="0.4">
      <c r="A47" s="4" t="s">
        <v>113</v>
      </c>
      <c r="C47" s="6">
        <f t="shared" ref="C47:J47" si="13">C23*IF(ISBLANK(C26),C12,C12+(C26-C12)*(2)/4)</f>
        <v>5.6514537506</v>
      </c>
      <c r="D47" s="6">
        <f t="shared" si="13"/>
        <v>0</v>
      </c>
      <c r="E47" s="6">
        <f t="shared" si="13"/>
        <v>1.0240772861385399</v>
      </c>
      <c r="F47" s="6">
        <f t="shared" si="13"/>
        <v>0</v>
      </c>
      <c r="G47" s="6">
        <f t="shared" si="13"/>
        <v>0</v>
      </c>
      <c r="H47" s="6">
        <f t="shared" si="13"/>
        <v>0</v>
      </c>
      <c r="I47" s="6">
        <f t="shared" si="13"/>
        <v>0</v>
      </c>
      <c r="J47" s="6">
        <f t="shared" si="13"/>
        <v>0</v>
      </c>
    </row>
    <row r="48" spans="1:10" x14ac:dyDescent="0.4">
      <c r="A48" s="4" t="s">
        <v>114</v>
      </c>
      <c r="C48" s="6">
        <f t="shared" ref="C48:J48" si="14">C24*IF(ISBLANK(C26),C12,C12+(C26-C12)*(3)/4)</f>
        <v>3.7198675936985004</v>
      </c>
      <c r="D48" s="6">
        <f t="shared" si="14"/>
        <v>0</v>
      </c>
      <c r="E48" s="6">
        <f t="shared" si="14"/>
        <v>1.1293540087341674</v>
      </c>
      <c r="F48" s="6">
        <f t="shared" si="14"/>
        <v>0</v>
      </c>
      <c r="G48" s="6">
        <f t="shared" si="14"/>
        <v>0</v>
      </c>
      <c r="H48" s="6">
        <f t="shared" si="14"/>
        <v>0</v>
      </c>
      <c r="I48" s="6">
        <f t="shared" si="14"/>
        <v>0</v>
      </c>
      <c r="J48" s="6">
        <f t="shared" si="14"/>
        <v>0</v>
      </c>
    </row>
    <row r="49" spans="1:10" x14ac:dyDescent="0.4">
      <c r="A49" s="4" t="s">
        <v>115</v>
      </c>
      <c r="C49" s="6">
        <f t="shared" ref="C49:J49" si="15">C25*IF(ISBLANK(C26),C12,C12+(C26-C12)*(4)/4)</f>
        <v>1.8990902978355502</v>
      </c>
      <c r="D49" s="6">
        <f t="shared" si="15"/>
        <v>0</v>
      </c>
      <c r="E49" s="6">
        <f t="shared" si="15"/>
        <v>1.1070696360803021</v>
      </c>
      <c r="F49" s="6">
        <f t="shared" si="15"/>
        <v>0</v>
      </c>
      <c r="G49" s="6">
        <f t="shared" si="15"/>
        <v>0</v>
      </c>
      <c r="H49" s="6">
        <f t="shared" si="15"/>
        <v>0</v>
      </c>
      <c r="I49" s="6">
        <f t="shared" si="15"/>
        <v>0</v>
      </c>
      <c r="J49" s="6">
        <f t="shared" si="15"/>
        <v>0</v>
      </c>
    </row>
    <row r="51" spans="1:10" x14ac:dyDescent="0.4">
      <c r="A51" s="4" t="s">
        <v>116</v>
      </c>
      <c r="C51" s="6">
        <f t="shared" ref="C51:J55" si="16">C39-C45</f>
        <v>12.656414499999995</v>
      </c>
      <c r="D51" s="6">
        <f t="shared" si="16"/>
        <v>11.783529245318974</v>
      </c>
      <c r="E51" s="6">
        <f t="shared" si="16"/>
        <v>12.550150310984579</v>
      </c>
      <c r="F51" s="6">
        <f t="shared" si="16"/>
        <v>0</v>
      </c>
      <c r="G51" s="6">
        <f t="shared" si="16"/>
        <v>0</v>
      </c>
      <c r="H51" s="6">
        <f t="shared" si="16"/>
        <v>0</v>
      </c>
      <c r="I51" s="6">
        <f t="shared" si="16"/>
        <v>0</v>
      </c>
      <c r="J51" s="6">
        <f t="shared" si="16"/>
        <v>0</v>
      </c>
    </row>
    <row r="52" spans="1:10" x14ac:dyDescent="0.4">
      <c r="A52" s="4" t="s">
        <v>117</v>
      </c>
      <c r="C52" s="6">
        <f t="shared" si="16"/>
        <v>15.579080438516304</v>
      </c>
      <c r="D52" s="6">
        <f t="shared" si="16"/>
        <v>11.5768808094398</v>
      </c>
      <c r="E52" s="6">
        <f t="shared" si="16"/>
        <v>8.5304226687613394</v>
      </c>
      <c r="F52" s="6">
        <f t="shared" si="16"/>
        <v>0</v>
      </c>
      <c r="G52" s="6">
        <f t="shared" si="16"/>
        <v>0</v>
      </c>
      <c r="H52" s="6">
        <f t="shared" si="16"/>
        <v>0</v>
      </c>
      <c r="I52" s="6">
        <f t="shared" si="16"/>
        <v>0</v>
      </c>
      <c r="J52" s="6">
        <f t="shared" si="16"/>
        <v>0</v>
      </c>
    </row>
    <row r="53" spans="1:10" x14ac:dyDescent="0.4">
      <c r="A53" s="4" t="s">
        <v>118</v>
      </c>
      <c r="C53" s="6">
        <f t="shared" si="16"/>
        <v>18.31499564767163</v>
      </c>
      <c r="D53" s="6">
        <f t="shared" si="16"/>
        <v>11.36509871871711</v>
      </c>
      <c r="E53" s="6">
        <f t="shared" si="16"/>
        <v>5.7595368636899842</v>
      </c>
      <c r="F53" s="6">
        <f t="shared" si="16"/>
        <v>0</v>
      </c>
      <c r="G53" s="6">
        <f t="shared" si="16"/>
        <v>0</v>
      </c>
      <c r="H53" s="6">
        <f t="shared" si="16"/>
        <v>0</v>
      </c>
      <c r="I53" s="6">
        <f t="shared" si="16"/>
        <v>0</v>
      </c>
      <c r="J53" s="6">
        <f t="shared" si="16"/>
        <v>0</v>
      </c>
    </row>
    <row r="54" spans="1:10" x14ac:dyDescent="0.4">
      <c r="A54" s="4" t="s">
        <v>119</v>
      </c>
      <c r="C54" s="6">
        <f t="shared" si="16"/>
        <v>20.872734771882971</v>
      </c>
      <c r="D54" s="6">
        <f t="shared" si="16"/>
        <v>11.149057670741897</v>
      </c>
      <c r="E54" s="6">
        <f t="shared" si="16"/>
        <v>3.8579660809452427</v>
      </c>
      <c r="F54" s="6">
        <f t="shared" si="16"/>
        <v>0</v>
      </c>
      <c r="G54" s="6">
        <f t="shared" si="16"/>
        <v>0</v>
      </c>
      <c r="H54" s="6">
        <f t="shared" si="16"/>
        <v>0</v>
      </c>
      <c r="I54" s="6">
        <f t="shared" si="16"/>
        <v>0</v>
      </c>
      <c r="J54" s="6">
        <f t="shared" si="16"/>
        <v>0</v>
      </c>
    </row>
    <row r="55" spans="1:10" x14ac:dyDescent="0.4">
      <c r="A55" s="4" t="s">
        <v>120</v>
      </c>
      <c r="C55" s="6">
        <f t="shared" si="16"/>
        <v>23.260526052558731</v>
      </c>
      <c r="D55" s="6">
        <f t="shared" si="16"/>
        <v>10.929564294975844</v>
      </c>
      <c r="E55" s="6">
        <f t="shared" si="16"/>
        <v>2.5596132157957276</v>
      </c>
      <c r="F55" s="6">
        <f t="shared" si="16"/>
        <v>0</v>
      </c>
      <c r="G55" s="6">
        <f t="shared" si="16"/>
        <v>0</v>
      </c>
      <c r="H55" s="6">
        <f t="shared" si="16"/>
        <v>0</v>
      </c>
      <c r="I55" s="6">
        <f t="shared" si="16"/>
        <v>0</v>
      </c>
      <c r="J55" s="6">
        <f t="shared" si="16"/>
        <v>0</v>
      </c>
    </row>
    <row r="57" spans="1:10" x14ac:dyDescent="0.4">
      <c r="A57" s="4" t="s">
        <v>121</v>
      </c>
      <c r="C57" s="6">
        <f t="shared" ref="C57:J57" si="17">C51/((1+C16))</f>
        <v>11.513068116024925</v>
      </c>
      <c r="D57" s="6">
        <f t="shared" si="17"/>
        <v>10.702059816623242</v>
      </c>
      <c r="E57" s="6">
        <f t="shared" si="17"/>
        <v>11.416403547522634</v>
      </c>
      <c r="F57" s="6">
        <f t="shared" si="17"/>
        <v>0</v>
      </c>
      <c r="G57" s="6">
        <f t="shared" si="17"/>
        <v>0</v>
      </c>
      <c r="H57" s="6">
        <f t="shared" si="17"/>
        <v>0</v>
      </c>
      <c r="I57" s="6">
        <f t="shared" si="17"/>
        <v>0</v>
      </c>
      <c r="J57" s="6">
        <f t="shared" si="17"/>
        <v>0</v>
      </c>
    </row>
    <row r="58" spans="1:10" x14ac:dyDescent="0.4">
      <c r="A58" s="4" t="s">
        <v>122</v>
      </c>
      <c r="C58" s="6">
        <f t="shared" ref="C58:J58" si="18">C52/((1+C16)*(1+C16+(C104-C16)*1/5))</f>
        <v>12.90007146292692</v>
      </c>
      <c r="D58" s="6">
        <f t="shared" si="18"/>
        <v>9.5587762101706293</v>
      </c>
      <c r="E58" s="6">
        <f t="shared" si="18"/>
        <v>7.0635145938352428</v>
      </c>
      <c r="F58" s="6">
        <f t="shared" si="18"/>
        <v>0</v>
      </c>
      <c r="G58" s="6">
        <f t="shared" si="18"/>
        <v>0</v>
      </c>
      <c r="H58" s="6">
        <f t="shared" si="18"/>
        <v>0</v>
      </c>
      <c r="I58" s="6">
        <f t="shared" si="18"/>
        <v>0</v>
      </c>
      <c r="J58" s="6">
        <f t="shared" si="18"/>
        <v>0</v>
      </c>
    </row>
    <row r="59" spans="1:10" x14ac:dyDescent="0.4">
      <c r="A59" s="4" t="s">
        <v>123</v>
      </c>
      <c r="C59" s="6">
        <f t="shared" ref="C59:J59" si="19">C53/((1+C16)*(1+C16+(C104-C16)*1/5)*(1+C16+(C104-C16)*2/5))</f>
        <v>13.813914029656331</v>
      </c>
      <c r="D59" s="6">
        <f t="shared" si="19"/>
        <v>8.5394491783030908</v>
      </c>
      <c r="E59" s="6">
        <f t="shared" si="19"/>
        <v>4.3440767672671834</v>
      </c>
      <c r="F59" s="6">
        <f t="shared" si="19"/>
        <v>0</v>
      </c>
      <c r="G59" s="6">
        <f t="shared" si="19"/>
        <v>0</v>
      </c>
      <c r="H59" s="6">
        <f t="shared" si="19"/>
        <v>0</v>
      </c>
      <c r="I59" s="6">
        <f t="shared" si="19"/>
        <v>0</v>
      </c>
      <c r="J59" s="6">
        <f t="shared" si="19"/>
        <v>0</v>
      </c>
    </row>
    <row r="60" spans="1:10" x14ac:dyDescent="0.4">
      <c r="A60" s="4" t="s">
        <v>124</v>
      </c>
      <c r="C60" s="6">
        <f t="shared" ref="C60:J60" si="20">C54/((1+C16)*(1+C16+(C104-C16)*1/5)*(1+C16+(C104-C16)*2/5)*(1+C16+(C104-C16)*3/5))</f>
        <v>14.349568119116446</v>
      </c>
      <c r="D60" s="6">
        <f t="shared" si="20"/>
        <v>7.6307691252781318</v>
      </c>
      <c r="E60" s="6">
        <f t="shared" si="20"/>
        <v>2.6522709019585902</v>
      </c>
      <c r="F60" s="6">
        <f t="shared" si="20"/>
        <v>0</v>
      </c>
      <c r="G60" s="6">
        <f t="shared" si="20"/>
        <v>0</v>
      </c>
      <c r="H60" s="6">
        <f t="shared" si="20"/>
        <v>0</v>
      </c>
      <c r="I60" s="6">
        <f t="shared" si="20"/>
        <v>0</v>
      </c>
      <c r="J60" s="6">
        <f t="shared" si="20"/>
        <v>0</v>
      </c>
    </row>
    <row r="61" spans="1:10" x14ac:dyDescent="0.4">
      <c r="A61" s="4" t="s">
        <v>125</v>
      </c>
      <c r="C61" s="6">
        <f t="shared" ref="C61:J61" si="21">C55/((1+C16)*(1+C16+(C104-C16)*1/5)*(1+C16+(C104-C16)*2/5)*(1+C16+(C104-C16)*3/5)*(1+C16+(C104-C16)*4/5))</f>
        <v>14.585410688041733</v>
      </c>
      <c r="D61" s="6">
        <f t="shared" si="21"/>
        <v>6.8207875247355556</v>
      </c>
      <c r="E61" s="6">
        <f t="shared" si="21"/>
        <v>1.6049942237146064</v>
      </c>
      <c r="F61" s="6">
        <f t="shared" si="21"/>
        <v>0</v>
      </c>
      <c r="G61" s="6">
        <f t="shared" si="21"/>
        <v>0</v>
      </c>
      <c r="H61" s="6">
        <f t="shared" si="21"/>
        <v>0</v>
      </c>
      <c r="I61" s="6">
        <f t="shared" si="21"/>
        <v>0</v>
      </c>
      <c r="J61" s="6">
        <f t="shared" si="21"/>
        <v>0</v>
      </c>
    </row>
    <row r="62" spans="1:10" x14ac:dyDescent="0.4">
      <c r="A62" s="3" t="s">
        <v>126</v>
      </c>
    </row>
    <row r="63" spans="1:10" x14ac:dyDescent="0.4">
      <c r="A63" s="4" t="s">
        <v>127</v>
      </c>
      <c r="C63" s="6">
        <f t="shared" ref="C63:J63" si="22">C25*(1+(C6+(C13-C6)*1/5))</f>
        <v>371.73990547196473</v>
      </c>
      <c r="D63" s="6">
        <f t="shared" si="22"/>
        <v>100.43669379067116</v>
      </c>
      <c r="E63" s="6">
        <f t="shared" si="22"/>
        <v>43.778644651154373</v>
      </c>
      <c r="F63" s="6">
        <f t="shared" si="22"/>
        <v>0</v>
      </c>
      <c r="G63" s="6">
        <f t="shared" si="22"/>
        <v>0</v>
      </c>
      <c r="H63" s="6">
        <f t="shared" si="22"/>
        <v>0</v>
      </c>
      <c r="I63" s="6">
        <f t="shared" si="22"/>
        <v>0</v>
      </c>
      <c r="J63" s="6">
        <f t="shared" si="22"/>
        <v>0</v>
      </c>
    </row>
    <row r="64" spans="1:10" x14ac:dyDescent="0.4">
      <c r="A64" s="4" t="s">
        <v>128</v>
      </c>
      <c r="C64" s="6">
        <f t="shared" ref="C64:J64" si="23">C63*(1+(C6+(C13-C6)*2/5))</f>
        <v>367.07941461839306</v>
      </c>
      <c r="D64" s="6">
        <f t="shared" si="23"/>
        <v>97.88395956765433</v>
      </c>
      <c r="E64" s="6">
        <f t="shared" si="23"/>
        <v>37.062284754329788</v>
      </c>
      <c r="F64" s="6">
        <f t="shared" si="23"/>
        <v>0</v>
      </c>
      <c r="G64" s="6">
        <f t="shared" si="23"/>
        <v>0</v>
      </c>
      <c r="H64" s="6">
        <f t="shared" si="23"/>
        <v>0</v>
      </c>
      <c r="I64" s="6">
        <f t="shared" si="23"/>
        <v>0</v>
      </c>
      <c r="J64" s="6">
        <f t="shared" si="23"/>
        <v>0</v>
      </c>
    </row>
    <row r="65" spans="1:10" x14ac:dyDescent="0.4">
      <c r="A65" s="4" t="s">
        <v>129</v>
      </c>
      <c r="C65" s="6">
        <f t="shared" ref="C65:J65" si="24">C64*(1+(C6+(C13-C6)*3/5))</f>
        <v>365.68251218597402</v>
      </c>
      <c r="D65" s="6">
        <f t="shared" si="24"/>
        <v>96.344730446386379</v>
      </c>
      <c r="E65" s="6">
        <f t="shared" si="24"/>
        <v>33.440371516292828</v>
      </c>
      <c r="F65" s="6">
        <f t="shared" si="24"/>
        <v>0</v>
      </c>
      <c r="G65" s="6">
        <f t="shared" si="24"/>
        <v>0</v>
      </c>
      <c r="H65" s="6">
        <f t="shared" si="24"/>
        <v>0</v>
      </c>
      <c r="I65" s="6">
        <f t="shared" si="24"/>
        <v>0</v>
      </c>
      <c r="J65" s="6">
        <f t="shared" si="24"/>
        <v>0</v>
      </c>
    </row>
    <row r="66" spans="1:10" x14ac:dyDescent="0.4">
      <c r="A66" s="4" t="s">
        <v>130</v>
      </c>
      <c r="C66" s="6">
        <f t="shared" ref="C66:J66" si="25">C65*(1+(C6+(C13-C6)*4/5))</f>
        <v>367.48388852146604</v>
      </c>
      <c r="D66" s="6">
        <f t="shared" si="25"/>
        <v>95.763412529014005</v>
      </c>
      <c r="E66" s="6">
        <f t="shared" si="25"/>
        <v>32.034748028946176</v>
      </c>
      <c r="F66" s="6">
        <f t="shared" si="25"/>
        <v>0</v>
      </c>
      <c r="G66" s="6">
        <f t="shared" si="25"/>
        <v>0</v>
      </c>
      <c r="H66" s="6">
        <f t="shared" si="25"/>
        <v>0</v>
      </c>
      <c r="I66" s="6">
        <f t="shared" si="25"/>
        <v>0</v>
      </c>
      <c r="J66" s="6">
        <f t="shared" si="25"/>
        <v>0</v>
      </c>
    </row>
    <row r="67" spans="1:10" x14ac:dyDescent="0.4">
      <c r="A67" s="4" t="s">
        <v>131</v>
      </c>
      <c r="C67" s="6">
        <f t="shared" ref="C67:J67" si="26">C66*(1+(C6+(C13-C6)*5/5))</f>
        <v>372.50283022903682</v>
      </c>
      <c r="D67" s="6">
        <f t="shared" si="26"/>
        <v>96.113675158422268</v>
      </c>
      <c r="E67" s="6">
        <f t="shared" si="26"/>
        <v>32.472265258941981</v>
      </c>
      <c r="F67" s="6">
        <f t="shared" si="26"/>
        <v>0</v>
      </c>
      <c r="G67" s="6">
        <f t="shared" si="26"/>
        <v>0</v>
      </c>
      <c r="H67" s="6">
        <f t="shared" si="26"/>
        <v>0</v>
      </c>
      <c r="I67" s="6">
        <f t="shared" si="26"/>
        <v>0</v>
      </c>
      <c r="J67" s="6">
        <f t="shared" si="26"/>
        <v>0</v>
      </c>
    </row>
    <row r="69" spans="1:10" x14ac:dyDescent="0.4">
      <c r="A69" s="4" t="s">
        <v>132</v>
      </c>
      <c r="C69" s="11">
        <f t="shared" ref="C69:J69" si="27">IF(ISBLANK(C9),C7,C9)</f>
        <v>9.4630331988311334E-2</v>
      </c>
      <c r="D69" s="11">
        <f t="shared" si="27"/>
        <v>0.15</v>
      </c>
      <c r="E69" s="11">
        <f t="shared" si="27"/>
        <v>9.4630331988311334E-2</v>
      </c>
      <c r="F69" s="11">
        <f t="shared" si="27"/>
        <v>0</v>
      </c>
      <c r="G69" s="11">
        <f t="shared" si="27"/>
        <v>0</v>
      </c>
      <c r="H69" s="11">
        <f t="shared" si="27"/>
        <v>0</v>
      </c>
      <c r="I69" s="11">
        <f t="shared" si="27"/>
        <v>0</v>
      </c>
      <c r="J69" s="11">
        <f t="shared" si="27"/>
        <v>0</v>
      </c>
    </row>
    <row r="70" spans="1:10" x14ac:dyDescent="0.4">
      <c r="A70" s="4" t="s">
        <v>133</v>
      </c>
      <c r="C70" s="11">
        <f t="shared" ref="C70:J70" si="28">IF(ISBLANK(C9),C7,C9)</f>
        <v>9.4630331988311334E-2</v>
      </c>
      <c r="D70" s="11">
        <f t="shared" si="28"/>
        <v>0.15</v>
      </c>
      <c r="E70" s="11">
        <f t="shared" si="28"/>
        <v>9.4630331988311334E-2</v>
      </c>
      <c r="F70" s="11">
        <f t="shared" si="28"/>
        <v>0</v>
      </c>
      <c r="G70" s="11">
        <f t="shared" si="28"/>
        <v>0</v>
      </c>
      <c r="H70" s="11">
        <f t="shared" si="28"/>
        <v>0</v>
      </c>
      <c r="I70" s="11">
        <f t="shared" si="28"/>
        <v>0</v>
      </c>
      <c r="J70" s="11">
        <f t="shared" si="28"/>
        <v>0</v>
      </c>
    </row>
    <row r="71" spans="1:10" x14ac:dyDescent="0.4">
      <c r="A71" s="4" t="s">
        <v>134</v>
      </c>
      <c r="C71" s="11">
        <f t="shared" ref="C71:J71" si="29">IF(ISBLANK(C9),C7,C9)</f>
        <v>9.4630331988311334E-2</v>
      </c>
      <c r="D71" s="11">
        <f t="shared" si="29"/>
        <v>0.15</v>
      </c>
      <c r="E71" s="11">
        <f t="shared" si="29"/>
        <v>9.4630331988311334E-2</v>
      </c>
      <c r="F71" s="11">
        <f t="shared" si="29"/>
        <v>0</v>
      </c>
      <c r="G71" s="11">
        <f t="shared" si="29"/>
        <v>0</v>
      </c>
      <c r="H71" s="11">
        <f t="shared" si="29"/>
        <v>0</v>
      </c>
      <c r="I71" s="11">
        <f t="shared" si="29"/>
        <v>0</v>
      </c>
      <c r="J71" s="11">
        <f t="shared" si="29"/>
        <v>0</v>
      </c>
    </row>
    <row r="72" spans="1:10" x14ac:dyDescent="0.4">
      <c r="A72" s="4" t="s">
        <v>135</v>
      </c>
      <c r="C72" s="11">
        <f t="shared" ref="C72:J72" si="30">IF(ISBLANK(C9),C7,C9)</f>
        <v>9.4630331988311334E-2</v>
      </c>
      <c r="D72" s="11">
        <f t="shared" si="30"/>
        <v>0.15</v>
      </c>
      <c r="E72" s="11">
        <f t="shared" si="30"/>
        <v>9.4630331988311334E-2</v>
      </c>
      <c r="F72" s="11">
        <f t="shared" si="30"/>
        <v>0</v>
      </c>
      <c r="G72" s="11">
        <f t="shared" si="30"/>
        <v>0</v>
      </c>
      <c r="H72" s="11">
        <f t="shared" si="30"/>
        <v>0</v>
      </c>
      <c r="I72" s="11">
        <f t="shared" si="30"/>
        <v>0</v>
      </c>
      <c r="J72" s="11">
        <f t="shared" si="30"/>
        <v>0</v>
      </c>
    </row>
    <row r="73" spans="1:10" x14ac:dyDescent="0.4">
      <c r="A73" s="4" t="s">
        <v>136</v>
      </c>
      <c r="C73" s="11">
        <f t="shared" ref="C73:J73" si="31">IF(ISBLANK(C9),C7,C9)</f>
        <v>9.4630331988311334E-2</v>
      </c>
      <c r="D73" s="11">
        <f t="shared" si="31"/>
        <v>0.15</v>
      </c>
      <c r="E73" s="11">
        <f t="shared" si="31"/>
        <v>9.4630331988311334E-2</v>
      </c>
      <c r="F73" s="11">
        <f t="shared" si="31"/>
        <v>0</v>
      </c>
      <c r="G73" s="11">
        <f t="shared" si="31"/>
        <v>0</v>
      </c>
      <c r="H73" s="11">
        <f t="shared" si="31"/>
        <v>0</v>
      </c>
      <c r="I73" s="11">
        <f t="shared" si="31"/>
        <v>0</v>
      </c>
      <c r="J73" s="11">
        <f t="shared" si="31"/>
        <v>0</v>
      </c>
    </row>
    <row r="75" spans="1:10" x14ac:dyDescent="0.4">
      <c r="A75" s="4" t="s">
        <v>137</v>
      </c>
      <c r="C75" s="6">
        <f t="shared" ref="C75:J79" si="32">C63*C69</f>
        <v>35.177870668115496</v>
      </c>
      <c r="D75" s="6">
        <f t="shared" si="32"/>
        <v>15.065504068600672</v>
      </c>
      <c r="E75" s="6">
        <f t="shared" si="32"/>
        <v>4.1427876773370489</v>
      </c>
      <c r="F75" s="6">
        <f t="shared" si="32"/>
        <v>0</v>
      </c>
      <c r="G75" s="6">
        <f t="shared" si="32"/>
        <v>0</v>
      </c>
      <c r="H75" s="6">
        <f t="shared" si="32"/>
        <v>0</v>
      </c>
      <c r="I75" s="6">
        <f t="shared" si="32"/>
        <v>0</v>
      </c>
      <c r="J75" s="6">
        <f t="shared" si="32"/>
        <v>0</v>
      </c>
    </row>
    <row r="76" spans="1:10" x14ac:dyDescent="0.4">
      <c r="A76" s="4" t="s">
        <v>138</v>
      </c>
      <c r="C76" s="6">
        <f t="shared" si="32"/>
        <v>34.736846871413519</v>
      </c>
      <c r="D76" s="6">
        <f t="shared" si="32"/>
        <v>14.682593935148148</v>
      </c>
      <c r="E76" s="6">
        <f t="shared" si="32"/>
        <v>3.5072163105475576</v>
      </c>
      <c r="F76" s="6">
        <f t="shared" si="32"/>
        <v>0</v>
      </c>
      <c r="G76" s="6">
        <f t="shared" si="32"/>
        <v>0</v>
      </c>
      <c r="H76" s="6">
        <f t="shared" si="32"/>
        <v>0</v>
      </c>
      <c r="I76" s="6">
        <f t="shared" si="32"/>
        <v>0</v>
      </c>
      <c r="J76" s="6">
        <f t="shared" si="32"/>
        <v>0</v>
      </c>
    </row>
    <row r="77" spans="1:10" x14ac:dyDescent="0.4">
      <c r="A77" s="4" t="s">
        <v>139</v>
      </c>
      <c r="C77" s="6">
        <f t="shared" si="32"/>
        <v>34.604657530478427</v>
      </c>
      <c r="D77" s="6">
        <f t="shared" si="32"/>
        <v>14.451709566957955</v>
      </c>
      <c r="E77" s="6">
        <f t="shared" si="32"/>
        <v>3.1644734583992604</v>
      </c>
      <c r="F77" s="6">
        <f t="shared" si="32"/>
        <v>0</v>
      </c>
      <c r="G77" s="6">
        <f t="shared" si="32"/>
        <v>0</v>
      </c>
      <c r="H77" s="6">
        <f t="shared" si="32"/>
        <v>0</v>
      </c>
      <c r="I77" s="6">
        <f t="shared" si="32"/>
        <v>0</v>
      </c>
      <c r="J77" s="6">
        <f t="shared" si="32"/>
        <v>0</v>
      </c>
    </row>
    <row r="78" spans="1:10" x14ac:dyDescent="0.4">
      <c r="A78" s="4" t="s">
        <v>140</v>
      </c>
      <c r="C78" s="6">
        <f t="shared" si="32"/>
        <v>34.775122371141926</v>
      </c>
      <c r="D78" s="6">
        <f t="shared" si="32"/>
        <v>14.364511879352101</v>
      </c>
      <c r="E78" s="6">
        <f t="shared" si="32"/>
        <v>3.0314588411410788</v>
      </c>
      <c r="F78" s="6">
        <f t="shared" si="32"/>
        <v>0</v>
      </c>
      <c r="G78" s="6">
        <f t="shared" si="32"/>
        <v>0</v>
      </c>
      <c r="H78" s="6">
        <f t="shared" si="32"/>
        <v>0</v>
      </c>
      <c r="I78" s="6">
        <f t="shared" si="32"/>
        <v>0</v>
      </c>
      <c r="J78" s="6">
        <f t="shared" si="32"/>
        <v>0</v>
      </c>
    </row>
    <row r="79" spans="1:10" x14ac:dyDescent="0.4">
      <c r="A79" s="4" t="s">
        <v>141</v>
      </c>
      <c r="C79" s="6">
        <f t="shared" si="32"/>
        <v>35.25006649115933</v>
      </c>
      <c r="D79" s="6">
        <f t="shared" si="32"/>
        <v>14.41705127376334</v>
      </c>
      <c r="E79" s="6">
        <f t="shared" si="32"/>
        <v>3.072861241866188</v>
      </c>
      <c r="F79" s="6">
        <f t="shared" si="32"/>
        <v>0</v>
      </c>
      <c r="G79" s="6">
        <f t="shared" si="32"/>
        <v>0</v>
      </c>
      <c r="H79" s="6">
        <f t="shared" si="32"/>
        <v>0</v>
      </c>
      <c r="I79" s="6">
        <f t="shared" si="32"/>
        <v>0</v>
      </c>
      <c r="J79" s="6">
        <f t="shared" si="32"/>
        <v>0</v>
      </c>
    </row>
    <row r="81" spans="1:10" x14ac:dyDescent="0.4">
      <c r="A81" s="4" t="s">
        <v>142</v>
      </c>
      <c r="C81" s="6">
        <f>C75*(1-Inputs!B22)</f>
        <v>24.624509467680845</v>
      </c>
      <c r="D81" s="6">
        <f>D75*(1-Inputs!B22)</f>
        <v>10.54585284802047</v>
      </c>
      <c r="E81" s="6">
        <f>E75*(1-Inputs!B22)</f>
        <v>2.899951374135934</v>
      </c>
      <c r="F81" s="6">
        <f>F75*(1-Inputs!B22)</f>
        <v>0</v>
      </c>
      <c r="G81" s="6">
        <f>G75*(1-Inputs!B22)</f>
        <v>0</v>
      </c>
      <c r="H81" s="6">
        <f>H75*(1-Inputs!B22)</f>
        <v>0</v>
      </c>
      <c r="I81" s="6">
        <f>I75*(1-Inputs!B22)</f>
        <v>0</v>
      </c>
      <c r="J81" s="6">
        <f>J75*(1-Inputs!B22)</f>
        <v>0</v>
      </c>
    </row>
    <row r="82" spans="1:10" x14ac:dyDescent="0.4">
      <c r="A82" s="4" t="s">
        <v>143</v>
      </c>
      <c r="C82" s="6">
        <f>C76*(1-Inputs!B22)</f>
        <v>24.31579280998946</v>
      </c>
      <c r="D82" s="6">
        <f>D76*(1-Inputs!B22)</f>
        <v>10.277815754603703</v>
      </c>
      <c r="E82" s="6">
        <f>E76*(1-Inputs!B22)</f>
        <v>2.4550514173832902</v>
      </c>
      <c r="F82" s="6">
        <f>F76*(1-Inputs!B22)</f>
        <v>0</v>
      </c>
      <c r="G82" s="6">
        <f>G76*(1-Inputs!B22)</f>
        <v>0</v>
      </c>
      <c r="H82" s="6">
        <f>H76*(1-Inputs!B22)</f>
        <v>0</v>
      </c>
      <c r="I82" s="6">
        <f>I76*(1-Inputs!B22)</f>
        <v>0</v>
      </c>
      <c r="J82" s="6">
        <f>J76*(1-Inputs!B22)</f>
        <v>0</v>
      </c>
    </row>
    <row r="83" spans="1:10" x14ac:dyDescent="0.4">
      <c r="A83" s="4" t="s">
        <v>144</v>
      </c>
      <c r="C83" s="6">
        <f>C77*(1-Inputs!B22)</f>
        <v>24.223260271334897</v>
      </c>
      <c r="D83" s="6">
        <f>D77*(1-Inputs!B22)</f>
        <v>10.116196696870569</v>
      </c>
      <c r="E83" s="6">
        <f>E77*(1-Inputs!B22)</f>
        <v>2.2151314208794823</v>
      </c>
      <c r="F83" s="6">
        <f>F77*(1-Inputs!B22)</f>
        <v>0</v>
      </c>
      <c r="G83" s="6">
        <f>G77*(1-Inputs!B22)</f>
        <v>0</v>
      </c>
      <c r="H83" s="6">
        <f>H77*(1-Inputs!B22)</f>
        <v>0</v>
      </c>
      <c r="I83" s="6">
        <f>I77*(1-Inputs!B22)</f>
        <v>0</v>
      </c>
      <c r="J83" s="6">
        <f>J77*(1-Inputs!B22)</f>
        <v>0</v>
      </c>
    </row>
    <row r="84" spans="1:10" x14ac:dyDescent="0.4">
      <c r="A84" s="4" t="s">
        <v>145</v>
      </c>
      <c r="C84" s="6">
        <f>C78*(1-Inputs!B22)</f>
        <v>24.342585659799347</v>
      </c>
      <c r="D84" s="6">
        <f>D78*(1-Inputs!B22)</f>
        <v>10.055158315546469</v>
      </c>
      <c r="E84" s="6">
        <f>E78*(1-Inputs!B22)</f>
        <v>2.122021188798755</v>
      </c>
      <c r="F84" s="6">
        <f>F78*(1-Inputs!B22)</f>
        <v>0</v>
      </c>
      <c r="G84" s="6">
        <f>G78*(1-Inputs!B22)</f>
        <v>0</v>
      </c>
      <c r="H84" s="6">
        <f>H78*(1-Inputs!B22)</f>
        <v>0</v>
      </c>
      <c r="I84" s="6">
        <f>I78*(1-Inputs!B22)</f>
        <v>0</v>
      </c>
      <c r="J84" s="6">
        <f>J78*(1-Inputs!B22)</f>
        <v>0</v>
      </c>
    </row>
    <row r="85" spans="1:10" x14ac:dyDescent="0.4">
      <c r="A85" s="4" t="s">
        <v>146</v>
      </c>
      <c r="C85" s="6">
        <f>C79*(1-Inputs!B22)</f>
        <v>24.675046543811529</v>
      </c>
      <c r="D85" s="6">
        <f>D79*(1-Inputs!B22)</f>
        <v>10.091935891634337</v>
      </c>
      <c r="E85" s="6">
        <f>E79*(1-Inputs!B22)</f>
        <v>2.1510028693063314</v>
      </c>
      <c r="F85" s="6">
        <f>F79*(1-Inputs!B22)</f>
        <v>0</v>
      </c>
      <c r="G85" s="6">
        <f>G79*(1-Inputs!B22)</f>
        <v>0</v>
      </c>
      <c r="H85" s="6">
        <f>H79*(1-Inputs!B22)</f>
        <v>0</v>
      </c>
      <c r="I85" s="6">
        <f>I79*(1-Inputs!B22)</f>
        <v>0</v>
      </c>
      <c r="J85" s="6">
        <f>J79*(1-Inputs!B22)</f>
        <v>0</v>
      </c>
    </row>
    <row r="87" spans="1:10" x14ac:dyDescent="0.4">
      <c r="A87" s="4" t="s">
        <v>147</v>
      </c>
      <c r="C87" s="6">
        <f t="shared" ref="C87:J87" si="33">C63*MAX(IF(ISBLANK(C26),C12,C26),0)</f>
        <v>1.8586995273598237</v>
      </c>
      <c r="D87" s="6">
        <f t="shared" si="33"/>
        <v>0</v>
      </c>
      <c r="E87" s="6">
        <f t="shared" si="33"/>
        <v>0.8755728930230875</v>
      </c>
      <c r="F87" s="6">
        <f t="shared" si="33"/>
        <v>0</v>
      </c>
      <c r="G87" s="6">
        <f t="shared" si="33"/>
        <v>0</v>
      </c>
      <c r="H87" s="6">
        <f t="shared" si="33"/>
        <v>0</v>
      </c>
      <c r="I87" s="6">
        <f t="shared" si="33"/>
        <v>0</v>
      </c>
      <c r="J87" s="6">
        <f t="shared" si="33"/>
        <v>0</v>
      </c>
    </row>
    <row r="88" spans="1:10" x14ac:dyDescent="0.4">
      <c r="A88" s="4" t="s">
        <v>148</v>
      </c>
      <c r="C88" s="6">
        <f t="shared" ref="C88:J88" si="34">C64*MAX(IF(ISBLANK(C26),C12,C26),0)</f>
        <v>1.8353970730919653</v>
      </c>
      <c r="D88" s="6">
        <f t="shared" si="34"/>
        <v>0</v>
      </c>
      <c r="E88" s="6">
        <f t="shared" si="34"/>
        <v>0.74124569508659577</v>
      </c>
      <c r="F88" s="6">
        <f t="shared" si="34"/>
        <v>0</v>
      </c>
      <c r="G88" s="6">
        <f t="shared" si="34"/>
        <v>0</v>
      </c>
      <c r="H88" s="6">
        <f t="shared" si="34"/>
        <v>0</v>
      </c>
      <c r="I88" s="6">
        <f t="shared" si="34"/>
        <v>0</v>
      </c>
      <c r="J88" s="6">
        <f t="shared" si="34"/>
        <v>0</v>
      </c>
    </row>
    <row r="89" spans="1:10" x14ac:dyDescent="0.4">
      <c r="A89" s="4" t="s">
        <v>149</v>
      </c>
      <c r="C89" s="6">
        <f t="shared" ref="C89:J89" si="35">C65*MAX(IF(ISBLANK(C26),C12,C26),0)</f>
        <v>1.82841256092987</v>
      </c>
      <c r="D89" s="6">
        <f t="shared" si="35"/>
        <v>0</v>
      </c>
      <c r="E89" s="6">
        <f t="shared" si="35"/>
        <v>0.66880743032585654</v>
      </c>
      <c r="F89" s="6">
        <f t="shared" si="35"/>
        <v>0</v>
      </c>
      <c r="G89" s="6">
        <f t="shared" si="35"/>
        <v>0</v>
      </c>
      <c r="H89" s="6">
        <f t="shared" si="35"/>
        <v>0</v>
      </c>
      <c r="I89" s="6">
        <f t="shared" si="35"/>
        <v>0</v>
      </c>
      <c r="J89" s="6">
        <f t="shared" si="35"/>
        <v>0</v>
      </c>
    </row>
    <row r="90" spans="1:10" x14ac:dyDescent="0.4">
      <c r="A90" s="4" t="s">
        <v>150</v>
      </c>
      <c r="C90" s="6">
        <f t="shared" ref="C90:J90" si="36">C66*MAX(IF(ISBLANK(C26),C12,C26),0)</f>
        <v>1.8374194426073303</v>
      </c>
      <c r="D90" s="6">
        <f t="shared" si="36"/>
        <v>0</v>
      </c>
      <c r="E90" s="6">
        <f t="shared" si="36"/>
        <v>0.6406949605789235</v>
      </c>
      <c r="F90" s="6">
        <f t="shared" si="36"/>
        <v>0</v>
      </c>
      <c r="G90" s="6">
        <f t="shared" si="36"/>
        <v>0</v>
      </c>
      <c r="H90" s="6">
        <f t="shared" si="36"/>
        <v>0</v>
      </c>
      <c r="I90" s="6">
        <f t="shared" si="36"/>
        <v>0</v>
      </c>
      <c r="J90" s="6">
        <f t="shared" si="36"/>
        <v>0</v>
      </c>
    </row>
    <row r="91" spans="1:10" x14ac:dyDescent="0.4">
      <c r="A91" s="4" t="s">
        <v>151</v>
      </c>
      <c r="C91" s="6">
        <f t="shared" ref="C91:J91" si="37">C67*MAX(IF(ISBLANK(C26),C12,C26),0)</f>
        <v>1.8625141511451841</v>
      </c>
      <c r="D91" s="6">
        <f t="shared" si="37"/>
        <v>0</v>
      </c>
      <c r="E91" s="6">
        <f t="shared" si="37"/>
        <v>0.64944530517883958</v>
      </c>
      <c r="F91" s="6">
        <f t="shared" si="37"/>
        <v>0</v>
      </c>
      <c r="G91" s="6">
        <f t="shared" si="37"/>
        <v>0</v>
      </c>
      <c r="H91" s="6">
        <f t="shared" si="37"/>
        <v>0</v>
      </c>
      <c r="I91" s="6">
        <f t="shared" si="37"/>
        <v>0</v>
      </c>
      <c r="J91" s="6">
        <f t="shared" si="37"/>
        <v>0</v>
      </c>
    </row>
    <row r="93" spans="1:10" x14ac:dyDescent="0.4">
      <c r="A93" s="4" t="s">
        <v>152</v>
      </c>
      <c r="C93" s="6">
        <f t="shared" ref="C93:J97" si="38">C81-C87</f>
        <v>22.76580994032102</v>
      </c>
      <c r="D93" s="6">
        <f t="shared" si="38"/>
        <v>10.54585284802047</v>
      </c>
      <c r="E93" s="6">
        <f t="shared" si="38"/>
        <v>2.0243784811128465</v>
      </c>
      <c r="F93" s="6">
        <f t="shared" si="38"/>
        <v>0</v>
      </c>
      <c r="G93" s="6">
        <f t="shared" si="38"/>
        <v>0</v>
      </c>
      <c r="H93" s="6">
        <f t="shared" si="38"/>
        <v>0</v>
      </c>
      <c r="I93" s="6">
        <f t="shared" si="38"/>
        <v>0</v>
      </c>
      <c r="J93" s="6">
        <f t="shared" si="38"/>
        <v>0</v>
      </c>
    </row>
    <row r="94" spans="1:10" x14ac:dyDescent="0.4">
      <c r="A94" s="4" t="s">
        <v>153</v>
      </c>
      <c r="C94" s="6">
        <f t="shared" si="38"/>
        <v>22.480395736897496</v>
      </c>
      <c r="D94" s="6">
        <f t="shared" si="38"/>
        <v>10.277815754603703</v>
      </c>
      <c r="E94" s="6">
        <f t="shared" si="38"/>
        <v>1.7138057222966945</v>
      </c>
      <c r="F94" s="6">
        <f t="shared" si="38"/>
        <v>0</v>
      </c>
      <c r="G94" s="6">
        <f t="shared" si="38"/>
        <v>0</v>
      </c>
      <c r="H94" s="6">
        <f t="shared" si="38"/>
        <v>0</v>
      </c>
      <c r="I94" s="6">
        <f t="shared" si="38"/>
        <v>0</v>
      </c>
      <c r="J94" s="6">
        <f t="shared" si="38"/>
        <v>0</v>
      </c>
    </row>
    <row r="95" spans="1:10" x14ac:dyDescent="0.4">
      <c r="A95" s="4" t="s">
        <v>154</v>
      </c>
      <c r="C95" s="6">
        <f t="shared" si="38"/>
        <v>22.394847710405028</v>
      </c>
      <c r="D95" s="6">
        <f t="shared" si="38"/>
        <v>10.116196696870569</v>
      </c>
      <c r="E95" s="6">
        <f t="shared" si="38"/>
        <v>1.5463239905536259</v>
      </c>
      <c r="F95" s="6">
        <f t="shared" si="38"/>
        <v>0</v>
      </c>
      <c r="G95" s="6">
        <f t="shared" si="38"/>
        <v>0</v>
      </c>
      <c r="H95" s="6">
        <f t="shared" si="38"/>
        <v>0</v>
      </c>
      <c r="I95" s="6">
        <f t="shared" si="38"/>
        <v>0</v>
      </c>
      <c r="J95" s="6">
        <f t="shared" si="38"/>
        <v>0</v>
      </c>
    </row>
    <row r="96" spans="1:10" x14ac:dyDescent="0.4">
      <c r="A96" s="4" t="s">
        <v>155</v>
      </c>
      <c r="C96" s="6">
        <f t="shared" si="38"/>
        <v>22.505166217192016</v>
      </c>
      <c r="D96" s="6">
        <f t="shared" si="38"/>
        <v>10.055158315546469</v>
      </c>
      <c r="E96" s="6">
        <f t="shared" si="38"/>
        <v>1.4813262282198316</v>
      </c>
      <c r="F96" s="6">
        <f t="shared" si="38"/>
        <v>0</v>
      </c>
      <c r="G96" s="6">
        <f t="shared" si="38"/>
        <v>0</v>
      </c>
      <c r="H96" s="6">
        <f t="shared" si="38"/>
        <v>0</v>
      </c>
      <c r="I96" s="6">
        <f t="shared" si="38"/>
        <v>0</v>
      </c>
      <c r="J96" s="6">
        <f t="shared" si="38"/>
        <v>0</v>
      </c>
    </row>
    <row r="97" spans="1:11" x14ac:dyDescent="0.4">
      <c r="A97" s="4" t="s">
        <v>156</v>
      </c>
      <c r="C97" s="6">
        <f t="shared" si="38"/>
        <v>22.812532392666345</v>
      </c>
      <c r="D97" s="6">
        <f t="shared" si="38"/>
        <v>10.091935891634337</v>
      </c>
      <c r="E97" s="6">
        <f t="shared" si="38"/>
        <v>1.5015575641274919</v>
      </c>
      <c r="F97" s="6">
        <f t="shared" si="38"/>
        <v>0</v>
      </c>
      <c r="G97" s="6">
        <f t="shared" si="38"/>
        <v>0</v>
      </c>
      <c r="H97" s="6">
        <f t="shared" si="38"/>
        <v>0</v>
      </c>
      <c r="I97" s="6">
        <f t="shared" si="38"/>
        <v>0</v>
      </c>
      <c r="J97" s="6">
        <f t="shared" si="38"/>
        <v>0</v>
      </c>
    </row>
    <row r="99" spans="1:11" x14ac:dyDescent="0.4">
      <c r="A99" s="4" t="s">
        <v>157</v>
      </c>
      <c r="C99" s="6">
        <f t="shared" ref="C99:J99" si="39">C93/(((1+C16)*(1+C16+(C104-C16)*1/5)*(1+C16+(C104-C16)*2/5)*(1+C16+(C104-C16)*3/5)*(1+C16+(C104-C16)*4/5))*(1+C104)^1)</f>
        <v>13.029033224635345</v>
      </c>
      <c r="D99" s="6">
        <f t="shared" si="39"/>
        <v>6.0068022486439183</v>
      </c>
      <c r="E99" s="6">
        <f t="shared" si="39"/>
        <v>1.1585660496506889</v>
      </c>
      <c r="F99" s="6">
        <f t="shared" si="39"/>
        <v>0</v>
      </c>
      <c r="G99" s="6">
        <f t="shared" si="39"/>
        <v>0</v>
      </c>
      <c r="H99" s="6">
        <f t="shared" si="39"/>
        <v>0</v>
      </c>
      <c r="I99" s="6">
        <f t="shared" si="39"/>
        <v>0</v>
      </c>
      <c r="J99" s="6">
        <f t="shared" si="39"/>
        <v>0</v>
      </c>
    </row>
    <row r="100" spans="1:11" x14ac:dyDescent="0.4">
      <c r="A100" s="4" t="s">
        <v>158</v>
      </c>
      <c r="C100" s="6">
        <f t="shared" ref="C100:J100" si="40">C94/(((1+C16)*(1+C16+(C104-C16)*1/5)*(1+C16+(C104-C16)*2/5)*(1+C16+(C104-C16)*3/5)*(1+C16+(C104-C16)*4/5))*(1+C104)^2)</f>
        <v>11.742565562827609</v>
      </c>
      <c r="D100" s="6">
        <f t="shared" si="40"/>
        <v>5.3430890386599819</v>
      </c>
      <c r="E100" s="6">
        <f t="shared" si="40"/>
        <v>0.89520114732621814</v>
      </c>
      <c r="F100" s="6">
        <f t="shared" si="40"/>
        <v>0</v>
      </c>
      <c r="G100" s="6">
        <f t="shared" si="40"/>
        <v>0</v>
      </c>
      <c r="H100" s="6">
        <f t="shared" si="40"/>
        <v>0</v>
      </c>
      <c r="I100" s="6">
        <f t="shared" si="40"/>
        <v>0</v>
      </c>
      <c r="J100" s="6">
        <f t="shared" si="40"/>
        <v>0</v>
      </c>
    </row>
    <row r="101" spans="1:11" x14ac:dyDescent="0.4">
      <c r="A101" s="4" t="s">
        <v>159</v>
      </c>
      <c r="C101" s="6">
        <f t="shared" ref="C101:J101" si="41">C95/(((1+C16)*(1+C16+(C104-C16)*1/5)*(1+C16+(C104-C16)*2/5)*(1+C16+(C104-C16)*3/5)*(1+C16+(C104-C16)*4/5))*(1+C104)^3)</f>
        <v>10.676701746355869</v>
      </c>
      <c r="D101" s="6">
        <f t="shared" si="41"/>
        <v>4.7999731088351165</v>
      </c>
      <c r="E101" s="6">
        <f t="shared" si="41"/>
        <v>0.73720706940575498</v>
      </c>
      <c r="F101" s="6">
        <f t="shared" si="41"/>
        <v>0</v>
      </c>
      <c r="G101" s="6">
        <f t="shared" si="41"/>
        <v>0</v>
      </c>
      <c r="H101" s="6">
        <f t="shared" si="41"/>
        <v>0</v>
      </c>
      <c r="I101" s="6">
        <f t="shared" si="41"/>
        <v>0</v>
      </c>
      <c r="J101" s="6">
        <f t="shared" si="41"/>
        <v>0</v>
      </c>
    </row>
    <row r="102" spans="1:11" x14ac:dyDescent="0.4">
      <c r="A102" s="4" t="s">
        <v>160</v>
      </c>
      <c r="C102" s="6">
        <f t="shared" ref="C102:J102" si="42">C96/(((1+C16)*(1+C16+(C104-C16)*1/5)*(1+C16+(C104-C16)*2/5)*(1+C16+(C104-C16)*3/5)*(1+C16+(C104-C16)*4/5))*(1+C104)^4)</f>
        <v>9.7926713185141523</v>
      </c>
      <c r="D102" s="6">
        <f t="shared" si="42"/>
        <v>4.3545211863527751</v>
      </c>
      <c r="E102" s="6">
        <f t="shared" si="42"/>
        <v>0.64456937258120084</v>
      </c>
      <c r="F102" s="6">
        <f t="shared" si="42"/>
        <v>0</v>
      </c>
      <c r="G102" s="6">
        <f t="shared" si="42"/>
        <v>0</v>
      </c>
      <c r="H102" s="6">
        <f t="shared" si="42"/>
        <v>0</v>
      </c>
      <c r="I102" s="6">
        <f t="shared" si="42"/>
        <v>0</v>
      </c>
      <c r="J102" s="6">
        <f t="shared" si="42"/>
        <v>0</v>
      </c>
    </row>
    <row r="103" spans="1:11" x14ac:dyDescent="0.4">
      <c r="A103" s="4" t="s">
        <v>161</v>
      </c>
      <c r="C103" s="6">
        <f t="shared" ref="C103:J103" si="43">C97/(((1+C16)*(1+C16+(C104-C16)*1/5)*(1+C16+(C104-C16)*2/5)*(1+C16+(C104-C16)*3/5)*(1+C16+(C104-C16)*4/5))*(1+C104)^5)</f>
        <v>9.0598792098245422</v>
      </c>
      <c r="D103" s="6">
        <f t="shared" si="43"/>
        <v>3.9889255801930945</v>
      </c>
      <c r="E103" s="6">
        <f t="shared" si="43"/>
        <v>0.59633581767391886</v>
      </c>
      <c r="F103" s="6">
        <f t="shared" si="43"/>
        <v>0</v>
      </c>
      <c r="G103" s="6">
        <f t="shared" si="43"/>
        <v>0</v>
      </c>
      <c r="H103" s="6">
        <f t="shared" si="43"/>
        <v>0</v>
      </c>
      <c r="I103" s="6">
        <f t="shared" si="43"/>
        <v>0</v>
      </c>
      <c r="J103" s="6">
        <f t="shared" si="43"/>
        <v>0</v>
      </c>
    </row>
    <row r="104" spans="1:11" x14ac:dyDescent="0.4">
      <c r="A104" s="4" t="s">
        <v>162</v>
      </c>
      <c r="C104" s="11">
        <f>MAX((Inputs!B18+((1+(1-Inputs!B22)*(Inputs!B36/(1-Inputs!B36)))/(1+(1-Inputs!B22)*0.25))*Inputs!B19+IF(ISBLANK(C17),Inputs!B24,C17)+Inputs!B25+Inputs!B39)*(1-Inputs!B36)+Inputs!B38*Inputs!B36,C15)</f>
        <v>9.5645461701702128E-2</v>
      </c>
      <c r="D104" s="11">
        <f>MAX((Inputs!B18+((1+(1-Inputs!B22)*(Inputs!B36/(1-Inputs!B36)))/(1+(1-Inputs!B22)*0.25))*Inputs!B19+IF(ISBLANK(D17),Inputs!B24,D17)+Inputs!B25+Inputs!B39)*(1-Inputs!B36)+Inputs!B38*Inputs!B36,D15)</f>
        <v>9.5645461701702128E-2</v>
      </c>
      <c r="E104" s="11">
        <f>MAX((Inputs!B18+((1+(1-Inputs!B22)*(Inputs!B36/(1-Inputs!B36)))/(1+(1-Inputs!B22)*0.25))*Inputs!B19+IF(ISBLANK(E17),Inputs!B24,E17)+Inputs!B25+Inputs!B39)*(1-Inputs!B36)+Inputs!B38*Inputs!B36,E15)</f>
        <v>9.5645461701702128E-2</v>
      </c>
      <c r="F104" s="11">
        <f>MAX((Inputs!B18+((1+(1-Inputs!B22)*(Inputs!B36/(1-Inputs!B36)))/(1+(1-Inputs!B22)*0.25))*Inputs!B19+IF(ISBLANK(F17),Inputs!B24,F17)+Inputs!B25+Inputs!B39)*(1-Inputs!B36)+Inputs!B38*Inputs!B36,F15)</f>
        <v>9.5645461701702128E-2</v>
      </c>
      <c r="G104" s="11">
        <f>MAX((Inputs!B18+((1+(1-Inputs!B22)*(Inputs!B36/(1-Inputs!B36)))/(1+(1-Inputs!B22)*0.25))*Inputs!B19+IF(ISBLANK(G17),Inputs!B24,G17)+Inputs!B25+Inputs!B39)*(1-Inputs!B36)+Inputs!B38*Inputs!B36,G15)</f>
        <v>9.5645461701702128E-2</v>
      </c>
      <c r="H104" s="11">
        <f>MAX((Inputs!B18+((1+(1-Inputs!B22)*(Inputs!B36/(1-Inputs!B36)))/(1+(1-Inputs!B22)*0.25))*Inputs!B19+IF(ISBLANK(H17),Inputs!B24,H17)+Inputs!B25+Inputs!B39)*(1-Inputs!B36)+Inputs!B38*Inputs!B36,H15)</f>
        <v>9.5645461701702128E-2</v>
      </c>
      <c r="I104" s="11">
        <f>MAX((Inputs!B18+((1+(1-Inputs!B22)*(Inputs!B36/(1-Inputs!B36)))/(1+(1-Inputs!B22)*0.25))*Inputs!B19+IF(ISBLANK(I17),Inputs!B24,I17)+Inputs!B25+Inputs!B39)*(1-Inputs!B36)+Inputs!B38*Inputs!B36,I15)</f>
        <v>9.5645461701702128E-2</v>
      </c>
      <c r="J104" s="11">
        <f>MAX((Inputs!B18+((1+(1-Inputs!B22)*(Inputs!B36/(1-Inputs!B36)))/(1+(1-Inputs!B22)*0.25))*Inputs!B19+IF(ISBLANK(J17),Inputs!B24,J17)+Inputs!B25+Inputs!B39)*(1-Inputs!B36)+Inputs!B38*Inputs!B36,J15)</f>
        <v>9.5645461701702128E-2</v>
      </c>
    </row>
    <row r="105" spans="1:11" x14ac:dyDescent="0.4">
      <c r="A105" s="4" t="s">
        <v>163</v>
      </c>
      <c r="C105" s="6">
        <f t="shared" ref="C105:J105" si="44">SUM(C57:C61,C99:C103)</f>
        <v>121.46288347792388</v>
      </c>
      <c r="D105" s="6">
        <f t="shared" si="44"/>
        <v>67.745153017795531</v>
      </c>
      <c r="E105" s="6">
        <f t="shared" si="44"/>
        <v>31.113139490936039</v>
      </c>
      <c r="F105" s="6">
        <f t="shared" si="44"/>
        <v>0</v>
      </c>
      <c r="G105" s="6">
        <f t="shared" si="44"/>
        <v>0</v>
      </c>
      <c r="H105" s="6">
        <f t="shared" si="44"/>
        <v>0</v>
      </c>
      <c r="I105" s="6">
        <f t="shared" si="44"/>
        <v>0</v>
      </c>
      <c r="J105" s="6">
        <f t="shared" si="44"/>
        <v>0</v>
      </c>
    </row>
    <row r="106" spans="1:11" x14ac:dyDescent="0.4">
      <c r="A106" s="4" t="s">
        <v>164</v>
      </c>
      <c r="C106" s="6">
        <f t="shared" ref="C106:J106" si="45">IF(C5=0,0,C97*(1+C13)/(C104-C13))</f>
        <v>282.04286795248498</v>
      </c>
      <c r="D106" s="6">
        <f t="shared" si="45"/>
        <v>110.11068118315021</v>
      </c>
      <c r="E106" s="6">
        <f t="shared" si="45"/>
        <v>18.564515087260151</v>
      </c>
      <c r="F106" s="6">
        <f t="shared" si="45"/>
        <v>0</v>
      </c>
      <c r="G106" s="6">
        <f t="shared" si="45"/>
        <v>0</v>
      </c>
      <c r="H106" s="6">
        <f t="shared" si="45"/>
        <v>0</v>
      </c>
      <c r="I106" s="6">
        <f t="shared" si="45"/>
        <v>0</v>
      </c>
      <c r="J106" s="6">
        <f t="shared" si="45"/>
        <v>0</v>
      </c>
    </row>
    <row r="107" spans="1:11" x14ac:dyDescent="0.4">
      <c r="A107" s="4" t="s">
        <v>165</v>
      </c>
      <c r="C107" s="6">
        <f t="shared" ref="C107:J107" si="46">C106/(((1+C16)*(1+C16+(C104-C16)*1/5)*(1+C16+(C104-C16)*2/5)*(1+C16+(C104-C16)*3/5)*(1+C16+(C104-C16)*4/5))*(1+C104)^5)</f>
        <v>112.01186574373757</v>
      </c>
      <c r="D107" s="6">
        <f t="shared" si="46"/>
        <v>43.522206000936485</v>
      </c>
      <c r="E107" s="6">
        <f t="shared" si="46"/>
        <v>7.372801115829291</v>
      </c>
      <c r="F107" s="6">
        <f t="shared" si="46"/>
        <v>0</v>
      </c>
      <c r="G107" s="6">
        <f t="shared" si="46"/>
        <v>0</v>
      </c>
      <c r="H107" s="6">
        <f t="shared" si="46"/>
        <v>0</v>
      </c>
      <c r="I107" s="6">
        <f t="shared" si="46"/>
        <v>0</v>
      </c>
      <c r="J107" s="6">
        <f t="shared" si="46"/>
        <v>0</v>
      </c>
    </row>
    <row r="109" spans="1:11" x14ac:dyDescent="0.4">
      <c r="A109" s="19" t="s">
        <v>166</v>
      </c>
      <c r="C109" s="20">
        <f t="shared" ref="C109:J109" si="47">C105+C107</f>
        <v>233.47474922166145</v>
      </c>
      <c r="D109" s="20">
        <f t="shared" si="47"/>
        <v>111.26735901873201</v>
      </c>
      <c r="E109" s="20">
        <f t="shared" si="47"/>
        <v>38.485940606765332</v>
      </c>
      <c r="F109" s="20">
        <f t="shared" si="47"/>
        <v>0</v>
      </c>
      <c r="G109" s="20">
        <f t="shared" si="47"/>
        <v>0</v>
      </c>
      <c r="H109" s="20">
        <f t="shared" si="47"/>
        <v>0</v>
      </c>
      <c r="I109" s="20">
        <f t="shared" si="47"/>
        <v>0</v>
      </c>
      <c r="J109" s="20">
        <f t="shared" si="47"/>
        <v>0</v>
      </c>
      <c r="K109" s="20">
        <f>SUM(C109:J109)</f>
        <v>383.22804884715879</v>
      </c>
    </row>
    <row r="110" spans="1:11" x14ac:dyDescent="0.4">
      <c r="A110" s="4" t="s">
        <v>167</v>
      </c>
      <c r="K110" s="11">
        <f>IFERROR(SUMPRODUCT(C109:J109,C16:J16)/SUM(C109:J109),0)</f>
        <v>9.981489735070008E-2</v>
      </c>
    </row>
    <row r="111" spans="1:11" x14ac:dyDescent="0.4">
      <c r="A111" s="4" t="s">
        <v>168</v>
      </c>
      <c r="K111" s="5">
        <v>98.1</v>
      </c>
    </row>
    <row r="112" spans="1:11" x14ac:dyDescent="0.4">
      <c r="A112" s="4" t="s">
        <v>169</v>
      </c>
      <c r="K112" s="5">
        <v>10</v>
      </c>
    </row>
    <row r="113" spans="1:11" x14ac:dyDescent="0.4">
      <c r="A113" s="4" t="s">
        <v>170</v>
      </c>
      <c r="K113" s="5">
        <v>-101.6036253309582</v>
      </c>
    </row>
    <row r="114" spans="1:11" x14ac:dyDescent="0.4">
      <c r="A114" s="4" t="s">
        <v>171</v>
      </c>
      <c r="K114" s="5">
        <v>0</v>
      </c>
    </row>
    <row r="115" spans="1:11" x14ac:dyDescent="0.4">
      <c r="A115" s="4" t="s">
        <v>172</v>
      </c>
      <c r="K115" s="5">
        <v>0</v>
      </c>
    </row>
    <row r="116" spans="1:11" x14ac:dyDescent="0.4">
      <c r="A116" s="4" t="s">
        <v>173</v>
      </c>
      <c r="K116" s="5">
        <v>-5.75</v>
      </c>
    </row>
    <row r="117" spans="1:11" x14ac:dyDescent="0.4">
      <c r="A117" s="4" t="s">
        <v>174</v>
      </c>
      <c r="K117" s="5">
        <v>0</v>
      </c>
    </row>
    <row r="118" spans="1:11" x14ac:dyDescent="0.4">
      <c r="A118" s="4" t="s">
        <v>175</v>
      </c>
      <c r="K118" s="5">
        <v>0</v>
      </c>
    </row>
    <row r="119" spans="1:11" x14ac:dyDescent="0.4">
      <c r="A119" s="4" t="s">
        <v>176</v>
      </c>
      <c r="K119" s="20">
        <f>K109+K113+K114+K115+K116+K117+K118-K111-K112</f>
        <v>167.77442351620059</v>
      </c>
    </row>
    <row r="120" spans="1:11" x14ac:dyDescent="0.4">
      <c r="A120" s="4" t="s">
        <v>177</v>
      </c>
      <c r="K120" s="6">
        <f>Inputs!B11</f>
        <v>122.3</v>
      </c>
    </row>
    <row r="122" spans="1:11" ht="15.9" customHeight="1" x14ac:dyDescent="0.45">
      <c r="A122" s="4" t="s">
        <v>178</v>
      </c>
      <c r="K122" s="21">
        <f>K119/K120</f>
        <v>1.3718268480474292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12"/>
  <sheetViews>
    <sheetView workbookViewId="0"/>
  </sheetViews>
  <sheetFormatPr baseColWidth="10" defaultColWidth="9.23046875" defaultRowHeight="14.6" x14ac:dyDescent="0.4"/>
  <cols>
    <col min="1" max="1" width="28" customWidth="1"/>
    <col min="2" max="2" width="16" customWidth="1"/>
    <col min="3" max="3" width="14" customWidth="1"/>
    <col min="4" max="4" width="16" customWidth="1"/>
    <col min="5" max="5" width="50" customWidth="1"/>
  </cols>
  <sheetData>
    <row r="1" spans="1:5" ht="18.45" customHeight="1" x14ac:dyDescent="0.5">
      <c r="A1" s="1" t="s">
        <v>181</v>
      </c>
    </row>
    <row r="2" spans="1:5" x14ac:dyDescent="0.4">
      <c r="A2" s="2" t="s">
        <v>182</v>
      </c>
    </row>
    <row r="3" spans="1:5" x14ac:dyDescent="0.4">
      <c r="A3" s="2" t="s">
        <v>183</v>
      </c>
    </row>
    <row r="4" spans="1:5" x14ac:dyDescent="0.4">
      <c r="A4" s="22" t="s">
        <v>184</v>
      </c>
      <c r="B4" s="22" t="s">
        <v>185</v>
      </c>
      <c r="C4" s="22" t="s">
        <v>186</v>
      </c>
      <c r="D4" s="22" t="s">
        <v>187</v>
      </c>
      <c r="E4" s="22" t="s">
        <v>188</v>
      </c>
    </row>
    <row r="5" spans="1:5" ht="30" customHeight="1" x14ac:dyDescent="0.4">
      <c r="A5" s="23" t="s">
        <v>189</v>
      </c>
      <c r="B5" s="5">
        <v>-15</v>
      </c>
      <c r="C5" s="7">
        <v>0.3</v>
      </c>
      <c r="D5" s="6">
        <f>IF(ISNUMBER(B5),B5*C5,"")</f>
        <v>-4.5</v>
      </c>
      <c r="E5" s="24" t="s">
        <v>190</v>
      </c>
    </row>
    <row r="6" spans="1:5" ht="30" customHeight="1" x14ac:dyDescent="0.4">
      <c r="A6" s="23" t="s">
        <v>191</v>
      </c>
      <c r="B6" s="5">
        <v>-5</v>
      </c>
      <c r="C6" s="7">
        <v>0.25</v>
      </c>
      <c r="D6" s="6">
        <f>IF(ISNUMBER(B6),B6*C6,"")</f>
        <v>-1.25</v>
      </c>
      <c r="E6" s="24" t="s">
        <v>192</v>
      </c>
    </row>
    <row r="7" spans="1:5" ht="30" customHeight="1" x14ac:dyDescent="0.4">
      <c r="A7" s="23"/>
      <c r="B7" s="5"/>
      <c r="C7" s="7"/>
      <c r="D7" s="6" t="str">
        <f>IF(ISNUMBER(B7),B7*C7,"")</f>
        <v/>
      </c>
      <c r="E7" s="24"/>
    </row>
    <row r="8" spans="1:5" ht="30" customHeight="1" x14ac:dyDescent="0.4">
      <c r="A8" s="23"/>
      <c r="B8" s="5"/>
      <c r="C8" s="7"/>
      <c r="D8" s="6" t="str">
        <f>IF(ISNUMBER(B8),B8*C8,"")</f>
        <v/>
      </c>
      <c r="E8" s="24"/>
    </row>
    <row r="9" spans="1:5" ht="30" customHeight="1" x14ac:dyDescent="0.4">
      <c r="A9" s="23"/>
      <c r="B9" s="5"/>
      <c r="C9" s="7"/>
      <c r="D9" s="6" t="str">
        <f>IF(ISNUMBER(B9),B9*C9,"")</f>
        <v/>
      </c>
      <c r="E9" s="24"/>
    </row>
    <row r="11" spans="1:5" x14ac:dyDescent="0.4">
      <c r="C11" s="4" t="s">
        <v>193</v>
      </c>
      <c r="D11" s="20">
        <f>SUM(D5:D9)</f>
        <v>-5.75</v>
      </c>
    </row>
    <row r="12" spans="1:5" x14ac:dyDescent="0.4">
      <c r="C12" s="4" t="s">
        <v>194</v>
      </c>
      <c r="D12" s="20">
        <f>IF(Inputs!B11&gt;0,D11/Inputs!B11,"")</f>
        <v>-4.7015535568274737E-2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L22"/>
  <sheetViews>
    <sheetView workbookViewId="0"/>
  </sheetViews>
  <sheetFormatPr baseColWidth="10" defaultColWidth="9.23046875" defaultRowHeight="14.6" x14ac:dyDescent="0.4"/>
  <cols>
    <col min="1" max="1" width="30" customWidth="1"/>
    <col min="2" max="10" width="10" customWidth="1"/>
    <col min="11" max="11" width="8" customWidth="1"/>
    <col min="12" max="12" width="10" customWidth="1"/>
  </cols>
  <sheetData>
    <row r="1" spans="1:12" ht="18.45" customHeight="1" x14ac:dyDescent="0.5">
      <c r="A1" s="1" t="s">
        <v>195</v>
      </c>
    </row>
    <row r="2" spans="1:12" x14ac:dyDescent="0.4">
      <c r="A2" s="2" t="s">
        <v>196</v>
      </c>
    </row>
    <row r="4" spans="1:12" x14ac:dyDescent="0.4">
      <c r="A4" s="3" t="s">
        <v>197</v>
      </c>
    </row>
    <row r="5" spans="1:12" ht="29.15" customHeight="1" x14ac:dyDescent="0.4">
      <c r="A5" s="25" t="s">
        <v>198</v>
      </c>
      <c r="B5" s="25" t="s">
        <v>199</v>
      </c>
      <c r="C5" s="25" t="s">
        <v>200</v>
      </c>
      <c r="D5" s="25" t="s">
        <v>201</v>
      </c>
      <c r="E5" s="25" t="s">
        <v>202</v>
      </c>
      <c r="F5" s="25" t="s">
        <v>203</v>
      </c>
      <c r="G5" s="25" t="s">
        <v>204</v>
      </c>
      <c r="H5" s="25" t="s">
        <v>205</v>
      </c>
      <c r="I5" s="25" t="s">
        <v>206</v>
      </c>
      <c r="J5" s="25" t="s">
        <v>207</v>
      </c>
      <c r="K5" s="25" t="s">
        <v>208</v>
      </c>
      <c r="L5" s="25" t="s">
        <v>209</v>
      </c>
    </row>
    <row r="6" spans="1:12" x14ac:dyDescent="0.4">
      <c r="A6" s="35" t="s">
        <v>55</v>
      </c>
      <c r="B6" s="36">
        <v>0.05</v>
      </c>
      <c r="C6" s="36">
        <v>0.01</v>
      </c>
      <c r="D6" s="36">
        <v>-0.03</v>
      </c>
      <c r="E6" s="36">
        <v>0.1203696680116887</v>
      </c>
      <c r="F6" s="36">
        <v>9.5000000000000001E-2</v>
      </c>
      <c r="G6" s="36">
        <v>7.4999999999999997E-2</v>
      </c>
      <c r="H6" s="36">
        <v>2.4228278001948111E-2</v>
      </c>
      <c r="I6" s="36">
        <v>0.02</v>
      </c>
      <c r="J6" s="36">
        <v>1.365758299707783E-2</v>
      </c>
      <c r="K6" s="37">
        <v>1.37</v>
      </c>
      <c r="L6" s="37">
        <v>3</v>
      </c>
    </row>
    <row r="7" spans="1:12" x14ac:dyDescent="0.4">
      <c r="A7" s="35" t="s">
        <v>56</v>
      </c>
      <c r="B7" s="36">
        <v>-1.5201026993181609E-2</v>
      </c>
      <c r="C7" s="36">
        <v>-0.03</v>
      </c>
      <c r="D7" s="36">
        <v>-4.4798973006818392E-2</v>
      </c>
      <c r="E7" s="36">
        <v>0.18536966801168869</v>
      </c>
      <c r="F7" s="36">
        <v>0.16</v>
      </c>
      <c r="G7" s="36">
        <v>0.13463033198831131</v>
      </c>
      <c r="H7" s="36">
        <v>1.4228278001948111E-2</v>
      </c>
      <c r="I7" s="36">
        <v>0.01</v>
      </c>
      <c r="J7" s="36">
        <v>3.6575829970778352E-3</v>
      </c>
      <c r="K7" s="37">
        <v>1.44</v>
      </c>
      <c r="L7" s="37">
        <v>3</v>
      </c>
    </row>
    <row r="8" spans="1:12" x14ac:dyDescent="0.4">
      <c r="A8" s="35" t="s">
        <v>57</v>
      </c>
      <c r="B8" s="36">
        <v>-0.2352010269931816</v>
      </c>
      <c r="C8" s="36">
        <v>-0.25</v>
      </c>
      <c r="D8" s="36">
        <v>-0.26479897300681837</v>
      </c>
      <c r="E8" s="36">
        <v>0.14536966801168871</v>
      </c>
      <c r="F8" s="36">
        <v>0.12</v>
      </c>
      <c r="G8" s="36">
        <v>9.4630331988311334E-2</v>
      </c>
      <c r="H8" s="36">
        <v>2.4228278001948111E-2</v>
      </c>
      <c r="I8" s="36">
        <v>0.02</v>
      </c>
      <c r="J8" s="36">
        <v>1.365758299707783E-2</v>
      </c>
      <c r="K8" s="37">
        <v>1.37</v>
      </c>
      <c r="L8" s="37">
        <v>3</v>
      </c>
    </row>
    <row r="9" spans="1:12" x14ac:dyDescent="0.4">
      <c r="A9" s="26"/>
      <c r="B9" s="26"/>
      <c r="C9" s="26"/>
      <c r="D9" s="26"/>
      <c r="E9" s="26"/>
      <c r="F9" s="26"/>
      <c r="G9" s="26"/>
      <c r="H9" s="26"/>
      <c r="I9" s="26"/>
      <c r="J9" s="26"/>
      <c r="K9" s="26"/>
      <c r="L9" s="26"/>
    </row>
    <row r="10" spans="1:12" x14ac:dyDescent="0.4">
      <c r="A10" s="26"/>
      <c r="B10" s="26"/>
      <c r="C10" s="26"/>
      <c r="D10" s="26"/>
      <c r="E10" s="26"/>
      <c r="F10" s="26"/>
      <c r="G10" s="26"/>
      <c r="H10" s="26"/>
      <c r="I10" s="26"/>
      <c r="J10" s="26"/>
      <c r="K10" s="26"/>
      <c r="L10" s="26"/>
    </row>
    <row r="11" spans="1:12" x14ac:dyDescent="0.4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</row>
    <row r="12" spans="1:12" x14ac:dyDescent="0.4">
      <c r="A12" s="26"/>
      <c r="B12" s="26"/>
      <c r="C12" s="26"/>
      <c r="D12" s="26"/>
      <c r="E12" s="26"/>
      <c r="F12" s="26"/>
      <c r="G12" s="26"/>
      <c r="H12" s="26"/>
      <c r="I12" s="26"/>
      <c r="J12" s="26"/>
      <c r="K12" s="26"/>
      <c r="L12" s="26"/>
    </row>
    <row r="13" spans="1:12" x14ac:dyDescent="0.4">
      <c r="A13" s="26"/>
      <c r="B13" s="26"/>
      <c r="C13" s="26"/>
      <c r="D13" s="26"/>
      <c r="E13" s="26"/>
      <c r="F13" s="26"/>
      <c r="G13" s="26"/>
      <c r="H13" s="26"/>
      <c r="I13" s="26"/>
      <c r="J13" s="26"/>
      <c r="K13" s="26"/>
      <c r="L13" s="26"/>
    </row>
    <row r="15" spans="1:12" x14ac:dyDescent="0.4">
      <c r="A15" s="3" t="s">
        <v>210</v>
      </c>
    </row>
    <row r="16" spans="1:12" x14ac:dyDescent="0.4">
      <c r="A16" s="22" t="s">
        <v>211</v>
      </c>
      <c r="B16" s="22" t="s">
        <v>212</v>
      </c>
      <c r="C16" s="22" t="s">
        <v>213</v>
      </c>
      <c r="D16" s="22" t="s">
        <v>214</v>
      </c>
      <c r="E16" s="22" t="s">
        <v>215</v>
      </c>
    </row>
    <row r="17" spans="1:5" x14ac:dyDescent="0.4">
      <c r="A17" s="4" t="s">
        <v>216</v>
      </c>
      <c r="B17" s="6">
        <f>'DCF Bull'!K122</f>
        <v>5.8617327546365017</v>
      </c>
      <c r="C17" s="38">
        <v>0.17780000000000001</v>
      </c>
      <c r="D17" s="27" t="s">
        <v>217</v>
      </c>
      <c r="E17" s="6">
        <f>MAX(B17,0)</f>
        <v>5.8617327546365017</v>
      </c>
    </row>
    <row r="18" spans="1:5" x14ac:dyDescent="0.4">
      <c r="A18" s="4" t="s">
        <v>218</v>
      </c>
      <c r="B18" s="6">
        <f>'DCF Base'!K122</f>
        <v>3.2675969226931136</v>
      </c>
      <c r="C18" s="38">
        <v>0.6</v>
      </c>
      <c r="D18" s="27" t="s">
        <v>219</v>
      </c>
      <c r="E18" s="6">
        <f>MAX(B18,0)</f>
        <v>3.2675969226931136</v>
      </c>
    </row>
    <row r="19" spans="1:5" x14ac:dyDescent="0.4">
      <c r="A19" s="4" t="s">
        <v>220</v>
      </c>
      <c r="B19" s="6">
        <f>'DCF Bear'!K122</f>
        <v>1.3718268480474292</v>
      </c>
      <c r="C19" s="38">
        <v>0.22220000000000001</v>
      </c>
      <c r="D19" s="27" t="s">
        <v>221</v>
      </c>
      <c r="E19" s="6">
        <f>MAX(B19,0)</f>
        <v>1.3718268480474292</v>
      </c>
    </row>
    <row r="20" spans="1:5" x14ac:dyDescent="0.4">
      <c r="A20" s="2" t="s">
        <v>222</v>
      </c>
    </row>
    <row r="21" spans="1:5" ht="15.9" customHeight="1" x14ac:dyDescent="0.45">
      <c r="A21" s="19" t="s">
        <v>223</v>
      </c>
      <c r="B21" s="21">
        <f>MAX(0,B17*C17+B18*C18+B19*C19)</f>
        <v>3.3075941630263768</v>
      </c>
      <c r="D21" s="2" t="s">
        <v>224</v>
      </c>
      <c r="E21" s="6">
        <f>B17*C17+B18*C18+B19*C19</f>
        <v>3.3075941630263768</v>
      </c>
    </row>
    <row r="22" spans="1:5" x14ac:dyDescent="0.4">
      <c r="A22" s="2" t="s">
        <v>225</v>
      </c>
      <c r="B22" s="39" t="s">
        <v>226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103"/>
  <sheetViews>
    <sheetView workbookViewId="0"/>
  </sheetViews>
  <sheetFormatPr baseColWidth="10" defaultColWidth="9.23046875" defaultRowHeight="14.6" x14ac:dyDescent="0.4"/>
  <cols>
    <col min="1" max="1" width="34" customWidth="1"/>
    <col min="2" max="5" width="14" customWidth="1"/>
  </cols>
  <sheetData>
    <row r="1" spans="1:5" ht="16.75" customHeight="1" x14ac:dyDescent="0.45">
      <c r="A1" s="28" t="s">
        <v>227</v>
      </c>
    </row>
    <row r="2" spans="1:5" x14ac:dyDescent="0.4">
      <c r="A2" s="2" t="s">
        <v>228</v>
      </c>
    </row>
    <row r="4" spans="1:5" x14ac:dyDescent="0.4">
      <c r="A4" s="4" t="s">
        <v>229</v>
      </c>
      <c r="B4" s="40">
        <v>3.84</v>
      </c>
    </row>
    <row r="5" spans="1:5" x14ac:dyDescent="0.4">
      <c r="A5" s="4" t="s">
        <v>230</v>
      </c>
      <c r="B5" s="40">
        <v>3.31</v>
      </c>
    </row>
    <row r="6" spans="1:5" x14ac:dyDescent="0.4">
      <c r="A6" s="4" t="s">
        <v>231</v>
      </c>
      <c r="B6" s="29">
        <f>(B5-B4)/B4</f>
        <v>-0.13802083333333329</v>
      </c>
    </row>
    <row r="7" spans="1:5" x14ac:dyDescent="0.4">
      <c r="A7" s="4" t="s">
        <v>232</v>
      </c>
      <c r="B7" s="41" t="s">
        <v>233</v>
      </c>
    </row>
    <row r="9" spans="1:5" x14ac:dyDescent="0.4">
      <c r="B9" s="31" t="s">
        <v>218</v>
      </c>
      <c r="C9" s="31" t="s">
        <v>234</v>
      </c>
      <c r="D9" s="31" t="s">
        <v>235</v>
      </c>
      <c r="E9" s="31" t="s">
        <v>236</v>
      </c>
    </row>
    <row r="10" spans="1:5" x14ac:dyDescent="0.4">
      <c r="A10" t="s">
        <v>237</v>
      </c>
      <c r="B10" s="42">
        <v>830.9</v>
      </c>
      <c r="C10" s="6">
        <f>B10</f>
        <v>830.9</v>
      </c>
      <c r="D10" s="6">
        <f>B10</f>
        <v>830.9</v>
      </c>
      <c r="E10" s="6">
        <f t="shared" ref="E10:E15" si="0">B10</f>
        <v>830.9</v>
      </c>
    </row>
    <row r="11" spans="1:5" x14ac:dyDescent="0.4">
      <c r="A11" t="s">
        <v>238</v>
      </c>
      <c r="B11" s="43">
        <v>-7.6939463232639296E-2</v>
      </c>
      <c r="C11" s="44">
        <v>-7.6939463232639296E-2</v>
      </c>
      <c r="D11" s="11">
        <f>B11</f>
        <v>-7.6939463232639296E-2</v>
      </c>
      <c r="E11" s="11">
        <f t="shared" si="0"/>
        <v>-7.6939463232639296E-2</v>
      </c>
    </row>
    <row r="12" spans="1:5" x14ac:dyDescent="0.4">
      <c r="A12" t="s">
        <v>239</v>
      </c>
      <c r="B12" s="43">
        <v>0.11299374172583949</v>
      </c>
      <c r="C12" s="11">
        <f t="shared" ref="C12:C20" si="1">B12</f>
        <v>0.11299374172583949</v>
      </c>
      <c r="D12" s="11">
        <f>B12</f>
        <v>0.11299374172583949</v>
      </c>
      <c r="E12" s="11">
        <f t="shared" si="0"/>
        <v>0.11299374172583949</v>
      </c>
    </row>
    <row r="13" spans="1:5" x14ac:dyDescent="0.4">
      <c r="A13" t="s">
        <v>240</v>
      </c>
      <c r="B13" s="43">
        <v>0.12945240101095201</v>
      </c>
      <c r="C13" s="11">
        <f t="shared" si="1"/>
        <v>0.12945240101095201</v>
      </c>
      <c r="D13" s="44">
        <v>0.12945240101095201</v>
      </c>
      <c r="E13" s="11">
        <f t="shared" si="0"/>
        <v>0.12945240101095201</v>
      </c>
    </row>
    <row r="14" spans="1:5" x14ac:dyDescent="0.4">
      <c r="A14" t="s">
        <v>241</v>
      </c>
      <c r="B14" s="43">
        <v>1.2243230232278249E-2</v>
      </c>
      <c r="C14" s="11">
        <f t="shared" si="1"/>
        <v>1.2243230232278249E-2</v>
      </c>
      <c r="D14" s="11">
        <f t="shared" ref="D14:D20" si="2">B14</f>
        <v>1.2243230232278249E-2</v>
      </c>
      <c r="E14" s="11">
        <f t="shared" si="0"/>
        <v>1.2243230232278249E-2</v>
      </c>
    </row>
    <row r="15" spans="1:5" x14ac:dyDescent="0.4">
      <c r="A15" t="s">
        <v>73</v>
      </c>
      <c r="B15" s="43">
        <v>1.8424599831508001E-2</v>
      </c>
      <c r="C15" s="11">
        <f t="shared" si="1"/>
        <v>1.8424599831508001E-2</v>
      </c>
      <c r="D15" s="11">
        <f t="shared" si="2"/>
        <v>1.8424599831508001E-2</v>
      </c>
      <c r="E15" s="11">
        <f t="shared" si="0"/>
        <v>1.8424599831508001E-2</v>
      </c>
    </row>
    <row r="16" spans="1:5" x14ac:dyDescent="0.4">
      <c r="A16" t="s">
        <v>242</v>
      </c>
      <c r="B16" s="43">
        <v>9.9735820432361455E-2</v>
      </c>
      <c r="C16" s="11">
        <f t="shared" si="1"/>
        <v>9.9735820432361455E-2</v>
      </c>
      <c r="D16" s="11">
        <f t="shared" si="2"/>
        <v>9.9735820432361455E-2</v>
      </c>
      <c r="E16" s="44">
        <v>9.9735820432361455E-2</v>
      </c>
    </row>
    <row r="17" spans="1:5" x14ac:dyDescent="0.4">
      <c r="A17" t="s">
        <v>243</v>
      </c>
      <c r="B17" s="43">
        <v>0.3</v>
      </c>
      <c r="C17" s="11">
        <f t="shared" si="1"/>
        <v>0.3</v>
      </c>
      <c r="D17" s="11">
        <f t="shared" si="2"/>
        <v>0.3</v>
      </c>
      <c r="E17" s="11">
        <f>B17</f>
        <v>0.3</v>
      </c>
    </row>
    <row r="18" spans="1:5" x14ac:dyDescent="0.4">
      <c r="A18" t="s">
        <v>244</v>
      </c>
      <c r="B18" s="42">
        <v>149.5</v>
      </c>
      <c r="C18" s="6">
        <f t="shared" si="1"/>
        <v>149.5</v>
      </c>
      <c r="D18" s="6">
        <f t="shared" si="2"/>
        <v>149.5</v>
      </c>
      <c r="E18" s="6">
        <f>B18</f>
        <v>149.5</v>
      </c>
    </row>
    <row r="19" spans="1:5" x14ac:dyDescent="0.4">
      <c r="A19" t="s">
        <v>245</v>
      </c>
      <c r="B19" s="42">
        <v>-210.3</v>
      </c>
      <c r="C19" s="6">
        <f t="shared" si="1"/>
        <v>-210.3</v>
      </c>
      <c r="D19" s="6">
        <f t="shared" si="2"/>
        <v>-210.3</v>
      </c>
      <c r="E19" s="6">
        <f>B19</f>
        <v>-210.3</v>
      </c>
    </row>
    <row r="20" spans="1:5" x14ac:dyDescent="0.4">
      <c r="A20" t="s">
        <v>246</v>
      </c>
      <c r="B20" s="40">
        <v>122.3</v>
      </c>
      <c r="C20" s="6">
        <f t="shared" si="1"/>
        <v>122.3</v>
      </c>
      <c r="D20" s="6">
        <f t="shared" si="2"/>
        <v>122.3</v>
      </c>
      <c r="E20" s="6">
        <f>B20</f>
        <v>122.3</v>
      </c>
    </row>
    <row r="22" spans="1:5" x14ac:dyDescent="0.4">
      <c r="A22" t="s">
        <v>247</v>
      </c>
      <c r="B22" s="6">
        <f>B10*(1+B11)^1</f>
        <v>766.971</v>
      </c>
      <c r="C22" s="6">
        <f>C10*(1+C11)^1</f>
        <v>766.971</v>
      </c>
      <c r="D22" s="6">
        <f>D10*(1+D11)^1</f>
        <v>766.971</v>
      </c>
      <c r="E22" s="6">
        <f>E10*(1+E11)^1</f>
        <v>766.971</v>
      </c>
    </row>
    <row r="23" spans="1:5" x14ac:dyDescent="0.4">
      <c r="A23" t="s">
        <v>248</v>
      </c>
      <c r="B23" s="6">
        <f>B10*(1+B11)^2</f>
        <v>707.9606629449994</v>
      </c>
      <c r="C23" s="6">
        <f>C10*(1+C11)^2</f>
        <v>707.9606629449994</v>
      </c>
      <c r="D23" s="6">
        <f>D10*(1+D11)^2</f>
        <v>707.9606629449994</v>
      </c>
      <c r="E23" s="6">
        <f>E10*(1+E11)^2</f>
        <v>707.9606629449994</v>
      </c>
    </row>
    <row r="24" spans="1:5" x14ac:dyDescent="0.4">
      <c r="A24" t="s">
        <v>249</v>
      </c>
      <c r="B24" s="6">
        <f>B10*(1+B11)^3</f>
        <v>653.49054954818757</v>
      </c>
      <c r="C24" s="6">
        <f>C10*(1+C11)^3</f>
        <v>653.49054954818757</v>
      </c>
      <c r="D24" s="6">
        <f>D10*(1+D11)^3</f>
        <v>653.49054954818757</v>
      </c>
      <c r="E24" s="6">
        <f>E10*(1+E11)^3</f>
        <v>653.49054954818757</v>
      </c>
    </row>
    <row r="25" spans="1:5" x14ac:dyDescent="0.4">
      <c r="A25" t="s">
        <v>250</v>
      </c>
      <c r="B25" s="6">
        <f>B10*(1+B11)^4</f>
        <v>603.21133743834764</v>
      </c>
      <c r="C25" s="6">
        <f>C10*(1+C11)^4</f>
        <v>603.21133743834764</v>
      </c>
      <c r="D25" s="6">
        <f>D10*(1+D11)^4</f>
        <v>603.21133743834764</v>
      </c>
      <c r="E25" s="6">
        <f>E10*(1+E11)^4</f>
        <v>603.21133743834764</v>
      </c>
    </row>
    <row r="26" spans="1:5" x14ac:dyDescent="0.4">
      <c r="A26" t="s">
        <v>251</v>
      </c>
      <c r="B26" s="6">
        <f>B10*(1+B11)^5</f>
        <v>556.80058091999865</v>
      </c>
      <c r="C26" s="6">
        <f>C10*(1+C11)^5</f>
        <v>556.80058091999865</v>
      </c>
      <c r="D26" s="6">
        <f>D10*(1+D11)^5</f>
        <v>556.80058091999865</v>
      </c>
      <c r="E26" s="6">
        <f>E10*(1+E11)^5</f>
        <v>556.80058091999865</v>
      </c>
    </row>
    <row r="27" spans="1:5" x14ac:dyDescent="0.4">
      <c r="A27" t="s">
        <v>252</v>
      </c>
      <c r="B27" s="6">
        <f>B26*(1+(B11+(B15-B11)*1/5))</f>
        <v>524.58039623899401</v>
      </c>
      <c r="C27" s="6">
        <f>C26*(1+(C11+(C15-C11)*1/5))</f>
        <v>524.58039623899401</v>
      </c>
      <c r="D27" s="6">
        <f>D26*(1+(D11+(D15-D11)*1/5))</f>
        <v>524.58039623899401</v>
      </c>
      <c r="E27" s="6">
        <f>E26*(1+(E11+(E15-E11)*1/5))</f>
        <v>524.58039623899401</v>
      </c>
    </row>
    <row r="28" spans="1:5" x14ac:dyDescent="0.4">
      <c r="A28" t="s">
        <v>253</v>
      </c>
      <c r="B28" s="6">
        <f>B27*(1+(B11+(B15-B11)*2/5))</f>
        <v>504.22990932566091</v>
      </c>
      <c r="C28" s="6">
        <f>C27*(1+(C11+(C15-C11)*2/5))</f>
        <v>504.22990932566091</v>
      </c>
      <c r="D28" s="6">
        <f>D27*(1+(D11+(D15-D11)*2/5))</f>
        <v>504.22990932566091</v>
      </c>
      <c r="E28" s="6">
        <f>E27*(1+(E11+(E15-E11)*2/5))</f>
        <v>504.22990932566091</v>
      </c>
    </row>
    <row r="29" spans="1:5" x14ac:dyDescent="0.4">
      <c r="A29" t="s">
        <v>254</v>
      </c>
      <c r="B29" s="6">
        <f>B28*(1+(B11+(B15-B11)*3/5))</f>
        <v>494.28597847935913</v>
      </c>
      <c r="C29" s="6">
        <f>C28*(1+(C11+(C15-C11)*3/5))</f>
        <v>494.28597847935913</v>
      </c>
      <c r="D29" s="6">
        <f>D28*(1+(D11+(D15-D11)*3/5))</f>
        <v>494.28597847935913</v>
      </c>
      <c r="E29" s="6">
        <f>E28*(1+(E11+(E15-E11)*3/5))</f>
        <v>494.28597847935913</v>
      </c>
    </row>
    <row r="30" spans="1:5" x14ac:dyDescent="0.4">
      <c r="A30" t="s">
        <v>255</v>
      </c>
      <c r="B30" s="6">
        <f>B29*(1+(B11+(B15-B11)*4/5))</f>
        <v>493.96557599048083</v>
      </c>
      <c r="C30" s="6">
        <f>C29*(1+(C11+(C15-C11)*4/5))</f>
        <v>493.96557599048083</v>
      </c>
      <c r="D30" s="6">
        <f>D29*(1+(D11+(D15-D11)*4/5))</f>
        <v>493.96557599048083</v>
      </c>
      <c r="E30" s="6">
        <f>E29*(1+(E11+(E15-E11)*4/5))</f>
        <v>493.96557599048083</v>
      </c>
    </row>
    <row r="31" spans="1:5" x14ac:dyDescent="0.4">
      <c r="A31" t="s">
        <v>256</v>
      </c>
      <c r="B31" s="6">
        <f>B30*(1+(B11+(B15-B11)*5/5))</f>
        <v>503.06669405864579</v>
      </c>
      <c r="C31" s="6">
        <f>C30*(1+(C11+(C15-C11)*5/5))</f>
        <v>503.06669405864579</v>
      </c>
      <c r="D31" s="6">
        <f>D30*(1+(D11+(D15-D11)*5/5))</f>
        <v>503.06669405864579</v>
      </c>
      <c r="E31" s="6">
        <f>E30*(1+(E11+(E15-E11)*5/5))</f>
        <v>503.06669405864579</v>
      </c>
    </row>
    <row r="33" spans="1:5" x14ac:dyDescent="0.4">
      <c r="A33" t="s">
        <v>257</v>
      </c>
      <c r="B33" s="6">
        <f>B22*(B12+(B13-B12)*0/4)*(1-B17)-B22*B14</f>
        <v>51.273843625165512</v>
      </c>
      <c r="C33" s="6">
        <f>C22*(C12+(C13-C12)*0/4)*(1-C17)-C22*C14</f>
        <v>51.273843625165512</v>
      </c>
      <c r="D33" s="6">
        <f>D22*(D12+(D13-D12)*0/4)*(1-D17)-D22*D14</f>
        <v>51.273843625165512</v>
      </c>
      <c r="E33" s="6">
        <f>E22*(E12+(E13-E12)*0/4)*(1-E17)-E22*E14</f>
        <v>51.273843625165512</v>
      </c>
    </row>
    <row r="34" spans="1:5" x14ac:dyDescent="0.4">
      <c r="A34" t="s">
        <v>258</v>
      </c>
      <c r="B34" s="6">
        <f>B23*(B12+(B13-B12)*1/4)*(1-B17)-B23*B14</f>
        <v>49.367976203038964</v>
      </c>
      <c r="C34" s="6">
        <f>C23*(C12+(C13-C12)*1/4)*(1-C17)-C23*C14</f>
        <v>49.367976203038964</v>
      </c>
      <c r="D34" s="6">
        <f>D23*(D12+(D13-D12)*1/4)*(1-D17)-D23*D14</f>
        <v>49.367976203038964</v>
      </c>
      <c r="E34" s="6">
        <f>E23*(E12+(E13-E12)*1/4)*(1-E17)-E23*E14</f>
        <v>49.367976203038964</v>
      </c>
    </row>
    <row r="35" spans="1:5" x14ac:dyDescent="0.4">
      <c r="A35" t="s">
        <v>259</v>
      </c>
      <c r="B35" s="6">
        <f>B24*(B12+(B13-B12)*2/4)*(1-B17)-B24*B14</f>
        <v>47.451856815779962</v>
      </c>
      <c r="C35" s="6">
        <f>C24*(C12+(C13-C12)*2/4)*(1-C17)-C24*C14</f>
        <v>47.451856815779962</v>
      </c>
      <c r="D35" s="6">
        <f>D24*(D12+(D13-D12)*2/4)*(1-D17)-D24*D14</f>
        <v>47.451856815779962</v>
      </c>
      <c r="E35" s="6">
        <f>E24*(E12+(E13-E12)*2/4)*(1-E17)-E24*E14</f>
        <v>47.451856815779962</v>
      </c>
    </row>
    <row r="36" spans="1:5" x14ac:dyDescent="0.4">
      <c r="A36" t="s">
        <v>260</v>
      </c>
      <c r="B36" s="6">
        <f>B25*(B12+(B13-B12)*3/4)*(1-B17)-B25*B14</f>
        <v>45.538345151949414</v>
      </c>
      <c r="C36" s="6">
        <f>C25*(C12+(C13-C12)*3/4)*(1-C17)-C25*C14</f>
        <v>45.538345151949414</v>
      </c>
      <c r="D36" s="6">
        <f>D25*(D12+(D13-D12)*3/4)*(1-D17)-D25*D14</f>
        <v>45.538345151949414</v>
      </c>
      <c r="E36" s="6">
        <f>E25*(E12+(E13-E12)*3/4)*(1-E17)-E25*E14</f>
        <v>45.538345151949414</v>
      </c>
    </row>
    <row r="37" spans="1:5" x14ac:dyDescent="0.4">
      <c r="A37" t="s">
        <v>261</v>
      </c>
      <c r="B37" s="6">
        <f>B26*(B12+(B13-B12)*4/4)*(1-B17)-B26*B14</f>
        <v>43.638382753400869</v>
      </c>
      <c r="C37" s="6">
        <f>C26*(C12+(C13-C12)*4/4)*(1-C17)-C26*C14</f>
        <v>43.638382753400869</v>
      </c>
      <c r="D37" s="6">
        <f>D26*(D12+(D13-D12)*4/4)*(1-D17)-D26*D14</f>
        <v>43.638382753400869</v>
      </c>
      <c r="E37" s="6">
        <f>E26*(E12+(E13-E12)*4/4)*(1-E17)-E26*E14</f>
        <v>43.638382753400869</v>
      </c>
    </row>
    <row r="38" spans="1:5" x14ac:dyDescent="0.4">
      <c r="A38" t="s">
        <v>262</v>
      </c>
      <c r="B38" s="6">
        <f>B27*B13*(1-B17)-B27*B14</f>
        <v>41.113175704996294</v>
      </c>
      <c r="C38" s="6">
        <f>C27*C13*(1-C17)-C27*C14</f>
        <v>41.113175704996294</v>
      </c>
      <c r="D38" s="6">
        <f>D27*D13*(1-D17)-D27*D14</f>
        <v>41.113175704996294</v>
      </c>
      <c r="E38" s="6">
        <f>E27*E13*(1-E17)-E27*E14</f>
        <v>41.113175704996294</v>
      </c>
    </row>
    <row r="39" spans="1:5" x14ac:dyDescent="0.4">
      <c r="A39" t="s">
        <v>263</v>
      </c>
      <c r="B39" s="6">
        <f>B28*B13*(1-B17)-B28*B14</f>
        <v>39.518237826744155</v>
      </c>
      <c r="C39" s="6">
        <f>C28*C13*(1-C17)-C28*C14</f>
        <v>39.518237826744155</v>
      </c>
      <c r="D39" s="6">
        <f>D28*D13*(1-D17)-D28*D14</f>
        <v>39.518237826744155</v>
      </c>
      <c r="E39" s="6">
        <f>E28*E13*(1-E17)-E28*E14</f>
        <v>39.518237826744155</v>
      </c>
    </row>
    <row r="40" spans="1:5" x14ac:dyDescent="0.4">
      <c r="A40" t="s">
        <v>264</v>
      </c>
      <c r="B40" s="6">
        <f>B29*B13*(1-B17)-B29*B14</f>
        <v>38.738897655030826</v>
      </c>
      <c r="C40" s="6">
        <f>C29*C13*(1-C17)-C29*C14</f>
        <v>38.738897655030826</v>
      </c>
      <c r="D40" s="6">
        <f>D29*D13*(1-D17)-D29*D14</f>
        <v>38.738897655030826</v>
      </c>
      <c r="E40" s="6">
        <f>E29*E13*(1-E17)-E29*E14</f>
        <v>38.738897655030826</v>
      </c>
    </row>
    <row r="41" spans="1:5" x14ac:dyDescent="0.4">
      <c r="A41" t="s">
        <v>265</v>
      </c>
      <c r="B41" s="6">
        <f>B30*B13*(1-B17)-B30*B14</f>
        <v>38.713786606436535</v>
      </c>
      <c r="C41" s="6">
        <f>C30*C13*(1-C17)-C30*C14</f>
        <v>38.713786606436535</v>
      </c>
      <c r="D41" s="6">
        <f>D30*D13*(1-D17)-D30*D14</f>
        <v>38.713786606436535</v>
      </c>
      <c r="E41" s="6">
        <f>E30*E13*(1-E17)-E30*E14</f>
        <v>38.713786606436535</v>
      </c>
    </row>
    <row r="42" spans="1:5" x14ac:dyDescent="0.4">
      <c r="A42" t="s">
        <v>266</v>
      </c>
      <c r="B42" s="6">
        <f>B31*B13*(1-B17)-B31*B14</f>
        <v>39.427072632622519</v>
      </c>
      <c r="C42" s="6">
        <f>C31*C13*(1-C17)-C31*C14</f>
        <v>39.427072632622519</v>
      </c>
      <c r="D42" s="6">
        <f>D31*D13*(1-D17)-D31*D14</f>
        <v>39.427072632622519</v>
      </c>
      <c r="E42" s="6">
        <f>E31*E13*(1-E17)-E31*E14</f>
        <v>39.427072632622519</v>
      </c>
    </row>
    <row r="44" spans="1:5" x14ac:dyDescent="0.4">
      <c r="A44" t="s">
        <v>121</v>
      </c>
      <c r="B44" s="6">
        <f>B33/(1+B16)^1</f>
        <v>46.623782432591113</v>
      </c>
      <c r="C44" s="6">
        <f>C33/(1+C16)^1</f>
        <v>46.623782432591113</v>
      </c>
      <c r="D44" s="6">
        <f>D33/(1+D16)^1</f>
        <v>46.623782432591113</v>
      </c>
      <c r="E44" s="6">
        <f>E33/(1+E16)^1</f>
        <v>46.623782432591113</v>
      </c>
    </row>
    <row r="45" spans="1:5" x14ac:dyDescent="0.4">
      <c r="A45" t="s">
        <v>122</v>
      </c>
      <c r="B45" s="6">
        <f>B34/(1+B16)^2</f>
        <v>40.819584706389513</v>
      </c>
      <c r="C45" s="6">
        <f>C34/(1+C16)^2</f>
        <v>40.819584706389513</v>
      </c>
      <c r="D45" s="6">
        <f>D34/(1+D16)^2</f>
        <v>40.819584706389513</v>
      </c>
      <c r="E45" s="6">
        <f>E34/(1+E16)^2</f>
        <v>40.819584706389513</v>
      </c>
    </row>
    <row r="46" spans="1:5" x14ac:dyDescent="0.4">
      <c r="A46" t="s">
        <v>123</v>
      </c>
      <c r="B46" s="6">
        <f>B35/(1+B16)^3</f>
        <v>35.676981081544234</v>
      </c>
      <c r="C46" s="6">
        <f>C35/(1+C16)^3</f>
        <v>35.676981081544234</v>
      </c>
      <c r="D46" s="6">
        <f>D35/(1+D16)^3</f>
        <v>35.676981081544234</v>
      </c>
      <c r="E46" s="6">
        <f>E35/(1+E16)^3</f>
        <v>35.676981081544234</v>
      </c>
    </row>
    <row r="47" spans="1:5" x14ac:dyDescent="0.4">
      <c r="A47" t="s">
        <v>124</v>
      </c>
      <c r="B47" s="6">
        <f>B36/(1+B16)^4</f>
        <v>31.133199902341662</v>
      </c>
      <c r="C47" s="6">
        <f>C36/(1+C16)^4</f>
        <v>31.133199902341662</v>
      </c>
      <c r="D47" s="6">
        <f>D36/(1+D16)^4</f>
        <v>31.133199902341662</v>
      </c>
      <c r="E47" s="6">
        <f>E36/(1+E16)^4</f>
        <v>31.133199902341662</v>
      </c>
    </row>
    <row r="48" spans="1:5" x14ac:dyDescent="0.4">
      <c r="A48" t="s">
        <v>125</v>
      </c>
      <c r="B48" s="6">
        <f>B37/(1+B16)^5</f>
        <v>27.128563130382634</v>
      </c>
      <c r="C48" s="6">
        <f>C37/(1+C16)^5</f>
        <v>27.128563130382634</v>
      </c>
      <c r="D48" s="6">
        <f>D37/(1+D16)^5</f>
        <v>27.128563130382634</v>
      </c>
      <c r="E48" s="6">
        <f>E37/(1+E16)^5</f>
        <v>27.128563130382634</v>
      </c>
    </row>
    <row r="49" spans="1:5" x14ac:dyDescent="0.4">
      <c r="A49" t="s">
        <v>157</v>
      </c>
      <c r="B49" s="6">
        <f>B38/(1+B16)^6</f>
        <v>23.240785260455471</v>
      </c>
      <c r="C49" s="6">
        <f>C38/(1+C16)^6</f>
        <v>23.240785260455471</v>
      </c>
      <c r="D49" s="6">
        <f>D38/(1+D16)^6</f>
        <v>23.240785260455471</v>
      </c>
      <c r="E49" s="6">
        <f>E38/(1+E16)^6</f>
        <v>23.240785260455471</v>
      </c>
    </row>
    <row r="50" spans="1:5" x14ac:dyDescent="0.4">
      <c r="A50" t="s">
        <v>158</v>
      </c>
      <c r="B50" s="6">
        <f>B39/(1+B16)^7</f>
        <v>20.313229401879163</v>
      </c>
      <c r="C50" s="6">
        <f>C39/(1+C16)^7</f>
        <v>20.313229401879163</v>
      </c>
      <c r="D50" s="6">
        <f>D39/(1+D16)^7</f>
        <v>20.313229401879163</v>
      </c>
      <c r="E50" s="6">
        <f>E39/(1+E16)^7</f>
        <v>20.313229401879163</v>
      </c>
    </row>
    <row r="51" spans="1:5" x14ac:dyDescent="0.4">
      <c r="A51" t="s">
        <v>159</v>
      </c>
      <c r="B51" s="6">
        <f>B40/(1+B16)^8</f>
        <v>18.106741018200921</v>
      </c>
      <c r="C51" s="6">
        <f>C40/(1+C16)^8</f>
        <v>18.106741018200921</v>
      </c>
      <c r="D51" s="6">
        <f>D40/(1+D16)^8</f>
        <v>18.106741018200921</v>
      </c>
      <c r="E51" s="6">
        <f>E40/(1+E16)^8</f>
        <v>18.106741018200921</v>
      </c>
    </row>
    <row r="52" spans="1:5" x14ac:dyDescent="0.4">
      <c r="A52" t="s">
        <v>160</v>
      </c>
      <c r="B52" s="6">
        <f>B41/(1+B16)^9</f>
        <v>16.453955269121625</v>
      </c>
      <c r="C52" s="6">
        <f>C41/(1+C16)^9</f>
        <v>16.453955269121625</v>
      </c>
      <c r="D52" s="6">
        <f>D41/(1+D16)^9</f>
        <v>16.453955269121625</v>
      </c>
      <c r="E52" s="6">
        <f>E41/(1+E16)^9</f>
        <v>16.453955269121625</v>
      </c>
    </row>
    <row r="53" spans="1:5" x14ac:dyDescent="0.4">
      <c r="A53" t="s">
        <v>161</v>
      </c>
      <c r="B53" s="6">
        <f>B42/(1+B16)^10</f>
        <v>15.237398381742858</v>
      </c>
      <c r="C53" s="6">
        <f>C42/(1+C16)^10</f>
        <v>15.237398381742858</v>
      </c>
      <c r="D53" s="6">
        <f>D42/(1+D16)^10</f>
        <v>15.237398381742858</v>
      </c>
      <c r="E53" s="6">
        <f>E42/(1+E16)^10</f>
        <v>15.237398381742858</v>
      </c>
    </row>
    <row r="54" spans="1:5" x14ac:dyDescent="0.4">
      <c r="A54" t="s">
        <v>163</v>
      </c>
      <c r="B54" s="6">
        <f>SUM(B44:B53)</f>
        <v>274.73422058464922</v>
      </c>
      <c r="C54" s="6">
        <f>SUM(C44:C53)</f>
        <v>274.73422058464922</v>
      </c>
      <c r="D54" s="6">
        <f>SUM(D44:D53)</f>
        <v>274.73422058464922</v>
      </c>
      <c r="E54" s="6">
        <f>SUM(E44:E53)</f>
        <v>274.73422058464922</v>
      </c>
    </row>
    <row r="55" spans="1:5" x14ac:dyDescent="0.4">
      <c r="A55" t="s">
        <v>164</v>
      </c>
      <c r="B55" s="6">
        <f>B42*(1+B15)/MAX(B16-B15,0.01)</f>
        <v>493.82484202905852</v>
      </c>
      <c r="C55" s="6">
        <f>C42*(1+C15)/MAX(C16-C15,0.01)</f>
        <v>493.82484202905852</v>
      </c>
      <c r="D55" s="6">
        <f>D42*(1+D15)/MAX(D16-D15,0.01)</f>
        <v>493.82484202905852</v>
      </c>
      <c r="E55" s="6">
        <f>E42*(1+E15)/MAX(E16-E15,0.01)</f>
        <v>493.82484202905852</v>
      </c>
    </row>
    <row r="56" spans="1:5" x14ac:dyDescent="0.4">
      <c r="A56" t="s">
        <v>165</v>
      </c>
      <c r="B56" s="6">
        <f>B55/(1+B16)^10</f>
        <v>190.84870740750947</v>
      </c>
      <c r="C56" s="6">
        <f>C55/(1+C16)^10</f>
        <v>190.84870740750947</v>
      </c>
      <c r="D56" s="6">
        <f>D55/(1+D16)^10</f>
        <v>190.84870740750947</v>
      </c>
      <c r="E56" s="6">
        <f>E55/(1+E16)^10</f>
        <v>190.84870740750947</v>
      </c>
    </row>
    <row r="57" spans="1:5" x14ac:dyDescent="0.4">
      <c r="A57" t="s">
        <v>267</v>
      </c>
      <c r="B57" s="6">
        <f>B54+B56</f>
        <v>465.58292799215872</v>
      </c>
      <c r="C57" s="6">
        <f>C54+C56</f>
        <v>465.58292799215872</v>
      </c>
      <c r="D57" s="6">
        <f>D54+D56</f>
        <v>465.58292799215872</v>
      </c>
      <c r="E57" s="6">
        <f>E54+E56</f>
        <v>465.58292799215872</v>
      </c>
    </row>
    <row r="58" spans="1:5" x14ac:dyDescent="0.4">
      <c r="A58" t="s">
        <v>268</v>
      </c>
      <c r="B58" s="6">
        <f>B57+B18+B19</f>
        <v>404.7829279921587</v>
      </c>
      <c r="C58" s="6">
        <f>C57+C18+C19</f>
        <v>404.7829279921587</v>
      </c>
      <c r="D58" s="6">
        <f>D57+D18+D19</f>
        <v>404.7829279921587</v>
      </c>
      <c r="E58" s="6">
        <f>E57+E18+E19</f>
        <v>404.7829279921587</v>
      </c>
    </row>
    <row r="59" spans="1:5" x14ac:dyDescent="0.4">
      <c r="A59" s="4" t="s">
        <v>269</v>
      </c>
      <c r="B59" s="32">
        <f>B58/B20</f>
        <v>3.3097541127731702</v>
      </c>
      <c r="C59" s="32">
        <f>C58/C20</f>
        <v>3.3097541127731702</v>
      </c>
      <c r="D59" s="32">
        <f>D58/D20</f>
        <v>3.3097541127731702</v>
      </c>
      <c r="E59" s="32">
        <f>E58/E20</f>
        <v>3.3097541127731702</v>
      </c>
    </row>
    <row r="60" spans="1:5" x14ac:dyDescent="0.4">
      <c r="A60" t="s">
        <v>270</v>
      </c>
      <c r="B60" s="6">
        <f>B59-B5</f>
        <v>-2.4588722682983288E-4</v>
      </c>
      <c r="C60" s="6">
        <f>C59-B4</f>
        <v>-0.53024588722682964</v>
      </c>
      <c r="D60" s="6">
        <f>D59-B4</f>
        <v>-0.53024588722682964</v>
      </c>
      <c r="E60" s="6">
        <f>E59-B4</f>
        <v>-0.53024588722682964</v>
      </c>
    </row>
    <row r="62" spans="1:5" x14ac:dyDescent="0.4">
      <c r="A62" s="3" t="s">
        <v>271</v>
      </c>
    </row>
    <row r="63" spans="1:5" x14ac:dyDescent="0.4">
      <c r="A63" t="s">
        <v>272</v>
      </c>
      <c r="B63" s="45">
        <v>0.72799999999999998</v>
      </c>
    </row>
    <row r="64" spans="1:5" x14ac:dyDescent="0.4">
      <c r="A64" t="s">
        <v>273</v>
      </c>
      <c r="B64" s="46">
        <v>5.4459999999999997</v>
      </c>
    </row>
    <row r="65" spans="1:3" x14ac:dyDescent="0.4">
      <c r="A65" t="s">
        <v>274</v>
      </c>
      <c r="B65" s="47"/>
    </row>
    <row r="66" spans="1:3" x14ac:dyDescent="0.4">
      <c r="A66" t="s">
        <v>275</v>
      </c>
      <c r="B66" s="47">
        <v>14.535928</v>
      </c>
    </row>
    <row r="67" spans="1:3" x14ac:dyDescent="0.4">
      <c r="A67" t="s">
        <v>276</v>
      </c>
      <c r="B67" s="47">
        <v>1.0302722</v>
      </c>
    </row>
    <row r="69" spans="1:3" x14ac:dyDescent="0.4">
      <c r="A69" s="4" t="s">
        <v>277</v>
      </c>
      <c r="B69" s="2" t="s">
        <v>278</v>
      </c>
      <c r="C69" s="2" t="s">
        <v>279</v>
      </c>
    </row>
    <row r="70" spans="1:3" x14ac:dyDescent="0.4">
      <c r="B70" s="48">
        <v>2025</v>
      </c>
      <c r="C70" s="49">
        <v>0.65</v>
      </c>
    </row>
    <row r="71" spans="1:3" x14ac:dyDescent="0.4">
      <c r="B71" s="48">
        <v>2024</v>
      </c>
      <c r="C71" s="49">
        <v>0.64</v>
      </c>
    </row>
    <row r="72" spans="1:3" x14ac:dyDescent="0.4">
      <c r="B72" s="48">
        <v>2023</v>
      </c>
      <c r="C72" s="49">
        <v>0.88</v>
      </c>
    </row>
    <row r="73" spans="1:3" x14ac:dyDescent="0.4">
      <c r="B73" s="48">
        <v>2022</v>
      </c>
      <c r="C73" s="49">
        <v>0.89</v>
      </c>
    </row>
    <row r="77" spans="1:3" x14ac:dyDescent="0.4">
      <c r="A77" s="3" t="s">
        <v>280</v>
      </c>
    </row>
    <row r="79" spans="1:3" x14ac:dyDescent="0.4">
      <c r="A79" t="s">
        <v>281</v>
      </c>
      <c r="B79" s="50">
        <v>557</v>
      </c>
    </row>
    <row r="80" spans="1:3" x14ac:dyDescent="0.4">
      <c r="A80" t="s">
        <v>282</v>
      </c>
      <c r="B80" s="50">
        <v>492</v>
      </c>
    </row>
    <row r="81" spans="1:2" x14ac:dyDescent="0.4">
      <c r="A81" t="s">
        <v>283</v>
      </c>
      <c r="B81" s="50">
        <v>102</v>
      </c>
    </row>
    <row r="82" spans="1:2" x14ac:dyDescent="0.4">
      <c r="A82" t="s">
        <v>284</v>
      </c>
      <c r="B82" s="50">
        <v>128</v>
      </c>
    </row>
    <row r="83" spans="1:2" x14ac:dyDescent="0.4">
      <c r="A83" s="4" t="s">
        <v>285</v>
      </c>
      <c r="B83" s="33">
        <f>IF(B81&gt;0,B79/B81,"")</f>
        <v>5.4607843137254903</v>
      </c>
    </row>
    <row r="84" spans="1:2" x14ac:dyDescent="0.4">
      <c r="A84" s="4" t="s">
        <v>286</v>
      </c>
      <c r="B84" s="33">
        <f>IF(B81&gt;0,B80/B81,"")</f>
        <v>4.8235294117647056</v>
      </c>
    </row>
    <row r="85" spans="1:2" x14ac:dyDescent="0.4">
      <c r="A85" s="4" t="s">
        <v>287</v>
      </c>
      <c r="B85" s="33">
        <f>IF(B82&gt;0,B79/B82,"")</f>
        <v>4.3515625</v>
      </c>
    </row>
    <row r="86" spans="1:2" x14ac:dyDescent="0.4">
      <c r="A86" s="4" t="s">
        <v>288</v>
      </c>
      <c r="B86" s="33">
        <f>IF(B82&gt;0,B80/B82,"")</f>
        <v>3.84375</v>
      </c>
    </row>
    <row r="88" spans="1:2" x14ac:dyDescent="0.4">
      <c r="A88" s="4" t="s">
        <v>289</v>
      </c>
    </row>
    <row r="89" spans="1:2" x14ac:dyDescent="0.4">
      <c r="A89" t="s">
        <v>290</v>
      </c>
      <c r="B89" s="46">
        <v>3.99</v>
      </c>
    </row>
    <row r="90" spans="1:2" x14ac:dyDescent="0.4">
      <c r="A90" t="s">
        <v>291</v>
      </c>
      <c r="B90" s="46">
        <v>4.8099999999999996</v>
      </c>
    </row>
    <row r="91" spans="1:2" x14ac:dyDescent="0.4">
      <c r="A91" t="s">
        <v>292</v>
      </c>
      <c r="B91" s="46">
        <v>6.39</v>
      </c>
    </row>
    <row r="93" spans="1:2" x14ac:dyDescent="0.4">
      <c r="A93" s="4" t="s">
        <v>293</v>
      </c>
      <c r="B93" s="51" t="s">
        <v>294</v>
      </c>
    </row>
    <row r="94" spans="1:2" x14ac:dyDescent="0.4">
      <c r="A94" t="s">
        <v>295</v>
      </c>
      <c r="B94" s="41" t="s">
        <v>296</v>
      </c>
    </row>
    <row r="96" spans="1:2" x14ac:dyDescent="0.4">
      <c r="A96" s="3" t="s">
        <v>297</v>
      </c>
    </row>
    <row r="97" spans="1:5" x14ac:dyDescent="0.4">
      <c r="A97" s="4" t="s">
        <v>298</v>
      </c>
      <c r="B97" s="52">
        <v>1.0149999999999999</v>
      </c>
    </row>
    <row r="98" spans="1:5" x14ac:dyDescent="0.4">
      <c r="A98" t="s">
        <v>299</v>
      </c>
      <c r="B98" s="30"/>
      <c r="C98" s="30"/>
      <c r="D98" s="30"/>
    </row>
    <row r="99" spans="1:5" x14ac:dyDescent="0.4">
      <c r="A99" s="4" t="s">
        <v>300</v>
      </c>
      <c r="B99" s="4" t="s">
        <v>301</v>
      </c>
      <c r="C99" s="4" t="s">
        <v>302</v>
      </c>
      <c r="D99" s="4" t="s">
        <v>303</v>
      </c>
      <c r="E99" s="4" t="s">
        <v>304</v>
      </c>
    </row>
    <row r="100" spans="1:5" x14ac:dyDescent="0.4">
      <c r="A100" s="48" t="s">
        <v>305</v>
      </c>
      <c r="B100" s="53">
        <v>1.1000000000000001</v>
      </c>
      <c r="C100" s="53">
        <v>1.2</v>
      </c>
      <c r="D100" s="53">
        <v>0.122</v>
      </c>
      <c r="E100" s="54">
        <v>22.934999999999999</v>
      </c>
    </row>
    <row r="101" spans="1:5" x14ac:dyDescent="0.4">
      <c r="A101" s="48" t="s">
        <v>306</v>
      </c>
      <c r="B101" s="53">
        <v>0.35799999999999998</v>
      </c>
      <c r="C101" s="53">
        <v>1.165</v>
      </c>
      <c r="D101" s="53">
        <v>3</v>
      </c>
      <c r="E101" s="54">
        <v>-52.512</v>
      </c>
    </row>
    <row r="102" spans="1:5" x14ac:dyDescent="0.4">
      <c r="A102" s="48" t="s">
        <v>307</v>
      </c>
      <c r="B102" s="53">
        <v>0.754</v>
      </c>
      <c r="C102" s="53">
        <v>1.202</v>
      </c>
      <c r="D102" s="53">
        <v>0.79100000000000004</v>
      </c>
      <c r="E102" s="54">
        <v>7.7949999999999999</v>
      </c>
    </row>
    <row r="103" spans="1:5" x14ac:dyDescent="0.4">
      <c r="A103" s="48" t="s">
        <v>6</v>
      </c>
      <c r="B103" s="53">
        <v>1.0149999999999999</v>
      </c>
      <c r="C103" s="53">
        <v>1.399</v>
      </c>
      <c r="D103" s="53">
        <v>0.505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B16"/>
  <sheetViews>
    <sheetView workbookViewId="0"/>
  </sheetViews>
  <sheetFormatPr baseColWidth="10" defaultColWidth="9.23046875" defaultRowHeight="14.6" x14ac:dyDescent="0.4"/>
  <cols>
    <col min="1" max="1" width="36" customWidth="1"/>
    <col min="2" max="2" width="18" customWidth="1"/>
  </cols>
  <sheetData>
    <row r="1" spans="1:2" ht="15.9" customHeight="1" x14ac:dyDescent="0.45">
      <c r="A1" s="34" t="s">
        <v>308</v>
      </c>
    </row>
    <row r="2" spans="1:2" x14ac:dyDescent="0.4">
      <c r="A2" s="2" t="s">
        <v>309</v>
      </c>
    </row>
    <row r="4" spans="1:2" x14ac:dyDescent="0.4">
      <c r="A4" s="4" t="s">
        <v>310</v>
      </c>
      <c r="B4" s="30" t="s">
        <v>311</v>
      </c>
    </row>
    <row r="5" spans="1:2" x14ac:dyDescent="0.4">
      <c r="A5" s="4" t="s">
        <v>312</v>
      </c>
      <c r="B5" s="30" t="s">
        <v>313</v>
      </c>
    </row>
    <row r="6" spans="1:2" x14ac:dyDescent="0.4">
      <c r="A6" s="4" t="s">
        <v>314</v>
      </c>
      <c r="B6" s="30" t="s">
        <v>315</v>
      </c>
    </row>
    <row r="7" spans="1:2" x14ac:dyDescent="0.4">
      <c r="A7" s="4" t="s">
        <v>316</v>
      </c>
      <c r="B7" s="30" t="s">
        <v>317</v>
      </c>
    </row>
    <row r="8" spans="1:2" x14ac:dyDescent="0.4">
      <c r="A8" s="4" t="s">
        <v>318</v>
      </c>
      <c r="B8" s="30" t="s">
        <v>319</v>
      </c>
    </row>
    <row r="9" spans="1:2" x14ac:dyDescent="0.4">
      <c r="A9" s="4" t="s">
        <v>320</v>
      </c>
      <c r="B9" s="30" t="s">
        <v>321</v>
      </c>
    </row>
    <row r="10" spans="1:2" x14ac:dyDescent="0.4">
      <c r="A10" s="4" t="s">
        <v>322</v>
      </c>
      <c r="B10" s="30" t="s">
        <v>219</v>
      </c>
    </row>
    <row r="11" spans="1:2" x14ac:dyDescent="0.4">
      <c r="A11" s="4" t="s">
        <v>323</v>
      </c>
      <c r="B11" s="30" t="s">
        <v>324</v>
      </c>
    </row>
    <row r="12" spans="1:2" x14ac:dyDescent="0.4">
      <c r="A12" s="4" t="s">
        <v>325</v>
      </c>
      <c r="B12" s="30" t="s">
        <v>326</v>
      </c>
    </row>
    <row r="13" spans="1:2" x14ac:dyDescent="0.4">
      <c r="A13" s="4" t="s">
        <v>327</v>
      </c>
      <c r="B13" s="30" t="s">
        <v>328</v>
      </c>
    </row>
    <row r="14" spans="1:2" x14ac:dyDescent="0.4">
      <c r="A14" s="4" t="s">
        <v>329</v>
      </c>
      <c r="B14" s="30" t="s">
        <v>217</v>
      </c>
    </row>
    <row r="15" spans="1:2" x14ac:dyDescent="0.4">
      <c r="A15" s="4" t="s">
        <v>330</v>
      </c>
      <c r="B15" s="30" t="s">
        <v>219</v>
      </c>
    </row>
    <row r="16" spans="1:2" x14ac:dyDescent="0.4">
      <c r="A16" s="4" t="s">
        <v>331</v>
      </c>
      <c r="B16" s="30" t="s">
        <v>221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8</vt:i4>
      </vt:variant>
      <vt:variant>
        <vt:lpstr>Benannte Bereiche</vt:lpstr>
      </vt:variant>
      <vt:variant>
        <vt:i4>23</vt:i4>
      </vt:variant>
    </vt:vector>
  </HeadingPairs>
  <TitlesOfParts>
    <vt:vector size="31" baseType="lpstr">
      <vt:lpstr>Inputs</vt:lpstr>
      <vt:lpstr>DCF Base</vt:lpstr>
      <vt:lpstr>DCF Bull</vt:lpstr>
      <vt:lpstr>DCF Bear</vt:lpstr>
      <vt:lpstr>Adjustments</vt:lpstr>
      <vt:lpstr>Szenarien</vt:lpstr>
      <vt:lpstr>Markt-implizit</vt:lpstr>
      <vt:lpstr>Outputs</vt:lpstr>
      <vt:lpstr>OUT_EQUITY</vt:lpstr>
      <vt:lpstr>OUT_GROUP_EV</vt:lpstr>
      <vt:lpstr>OUT_MINORITY</vt:lpstr>
      <vt:lpstr>OUT_NET_DEBT</vt:lpstr>
      <vt:lpstr>OUT_PRICE_TARGET</vt:lpstr>
      <vt:lpstr>OUT_SEG_EV_1</vt:lpstr>
      <vt:lpstr>OUT_SEG_EV_2</vt:lpstr>
      <vt:lpstr>OUT_SEG_EV_3</vt:lpstr>
      <vt:lpstr>OUT_SEG_EV_4</vt:lpstr>
      <vt:lpstr>OUT_SEG_EV_5</vt:lpstr>
      <vt:lpstr>OUT_SEG_EV_6</vt:lpstr>
      <vt:lpstr>OUT_SEG_EV_7</vt:lpstr>
      <vt:lpstr>OUT_SEG_EV_8</vt:lpstr>
      <vt:lpstr>OUT_SEG_WACC_1</vt:lpstr>
      <vt:lpstr>OUT_SEG_WACC_2</vt:lpstr>
      <vt:lpstr>OUT_SEG_WACC_3</vt:lpstr>
      <vt:lpstr>OUT_SEG_WACC_4</vt:lpstr>
      <vt:lpstr>OUT_SEG_WACC_5</vt:lpstr>
      <vt:lpstr>OUT_SEG_WACC_6</vt:lpstr>
      <vt:lpstr>OUT_SEG_WACC_7</vt:lpstr>
      <vt:lpstr>OUT_SEG_WACC_8</vt:lpstr>
      <vt:lpstr>OUT_SHARES</vt:lpstr>
      <vt:lpstr>OUT_WACC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Jannick Wrage</cp:lastModifiedBy>
  <dcterms:created xsi:type="dcterms:W3CDTF">2026-07-27T11:26:06Z</dcterms:created>
  <dcterms:modified xsi:type="dcterms:W3CDTF">2026-08-05T10:51:02Z</dcterms:modified>
</cp:coreProperties>
</file>