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iemens_Healthineers\2026-07-30_run1\"/>
    </mc:Choice>
  </mc:AlternateContent>
  <xr:revisionPtr revIDLastSave="0" documentId="13_ncr:1_{05336155-3927-4ED7-BA19-16D09A72151D}" xr6:coauthVersionLast="47" xr6:coauthVersionMax="47" xr10:uidLastSave="{00000000-0000-0000-0000-000000000000}"/>
  <bookViews>
    <workbookView xWindow="2263" yWindow="2263" windowWidth="18514" windowHeight="1074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C26" i="7"/>
  <c r="B26" i="7"/>
  <c r="B37" i="7" s="1"/>
  <c r="B48" i="7" s="1"/>
  <c r="C25" i="7"/>
  <c r="B25" i="7"/>
  <c r="B36" i="7" s="1"/>
  <c r="B47" i="7" s="1"/>
  <c r="B24" i="7"/>
  <c r="B35" i="7" s="1"/>
  <c r="B46" i="7" s="1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D25" i="7" s="1"/>
  <c r="E10" i="7"/>
  <c r="E24" i="7" s="1"/>
  <c r="D10" i="7"/>
  <c r="C10" i="7"/>
  <c r="B6" i="7"/>
  <c r="D9" i="5"/>
  <c r="D8" i="5"/>
  <c r="D7" i="5"/>
  <c r="D6" i="5"/>
  <c r="D5" i="5"/>
  <c r="K120" i="4"/>
  <c r="J106" i="4"/>
  <c r="I106" i="4"/>
  <c r="H106" i="4"/>
  <c r="G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I51" i="4"/>
  <c r="E49" i="4"/>
  <c r="G48" i="4"/>
  <c r="I45" i="4"/>
  <c r="E45" i="4"/>
  <c r="F39" i="4"/>
  <c r="F51" i="4" s="1"/>
  <c r="D39" i="4"/>
  <c r="I37" i="4"/>
  <c r="I43" i="4" s="1"/>
  <c r="F37" i="4"/>
  <c r="F43" i="4" s="1"/>
  <c r="I33" i="4"/>
  <c r="I39" i="4" s="1"/>
  <c r="H33" i="4"/>
  <c r="H39" i="4" s="1"/>
  <c r="H51" i="4" s="1"/>
  <c r="G33" i="4"/>
  <c r="G39" i="4" s="1"/>
  <c r="G51" i="4" s="1"/>
  <c r="F33" i="4"/>
  <c r="E33" i="4"/>
  <c r="E39" i="4" s="1"/>
  <c r="E51" i="4" s="1"/>
  <c r="D33" i="4"/>
  <c r="C33" i="4"/>
  <c r="C39" i="4" s="1"/>
  <c r="C51" i="4" s="1"/>
  <c r="J31" i="4"/>
  <c r="I31" i="4"/>
  <c r="H31" i="4"/>
  <c r="G31" i="4"/>
  <c r="F31" i="4"/>
  <c r="E31" i="4"/>
  <c r="D31" i="4"/>
  <c r="C31" i="4"/>
  <c r="J30" i="4"/>
  <c r="I30" i="4"/>
  <c r="H30" i="4"/>
  <c r="G30" i="4"/>
  <c r="G36" i="4" s="1"/>
  <c r="G42" i="4" s="1"/>
  <c r="F30" i="4"/>
  <c r="E30" i="4"/>
  <c r="E36" i="4" s="1"/>
  <c r="E42" i="4" s="1"/>
  <c r="E54" i="4" s="1"/>
  <c r="D30" i="4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D27" i="4"/>
  <c r="C27" i="4"/>
  <c r="J25" i="4"/>
  <c r="I25" i="4"/>
  <c r="H25" i="4"/>
  <c r="G25" i="4"/>
  <c r="F25" i="4"/>
  <c r="E25" i="4"/>
  <c r="D25" i="4"/>
  <c r="C25" i="4"/>
  <c r="J24" i="4"/>
  <c r="J48" i="4" s="1"/>
  <c r="I24" i="4"/>
  <c r="H24" i="4"/>
  <c r="H48" i="4" s="1"/>
  <c r="G24" i="4"/>
  <c r="F24" i="4"/>
  <c r="F48" i="4" s="1"/>
  <c r="E24" i="4"/>
  <c r="E48" i="4" s="1"/>
  <c r="D24" i="4"/>
  <c r="C24" i="4"/>
  <c r="J23" i="4"/>
  <c r="I23" i="4"/>
  <c r="H23" i="4"/>
  <c r="G23" i="4"/>
  <c r="F23" i="4"/>
  <c r="F47" i="4" s="1"/>
  <c r="E23" i="4"/>
  <c r="D23" i="4"/>
  <c r="C23" i="4"/>
  <c r="J22" i="4"/>
  <c r="J46" i="4" s="1"/>
  <c r="I22" i="4"/>
  <c r="H22" i="4"/>
  <c r="G22" i="4"/>
  <c r="F22" i="4"/>
  <c r="E22" i="4"/>
  <c r="D22" i="4"/>
  <c r="C22" i="4"/>
  <c r="J21" i="4"/>
  <c r="I21" i="4"/>
  <c r="H21" i="4"/>
  <c r="H45" i="4" s="1"/>
  <c r="G21" i="4"/>
  <c r="G45" i="4" s="1"/>
  <c r="F21" i="4"/>
  <c r="F45" i="4" s="1"/>
  <c r="E21" i="4"/>
  <c r="D21" i="4"/>
  <c r="D45" i="4" s="1"/>
  <c r="C21" i="4"/>
  <c r="C45" i="4" s="1"/>
  <c r="K120" i="3"/>
  <c r="J106" i="3"/>
  <c r="I106" i="3"/>
  <c r="H106" i="3"/>
  <c r="G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G49" i="3"/>
  <c r="C48" i="3"/>
  <c r="I47" i="3"/>
  <c r="E45" i="3"/>
  <c r="C45" i="3"/>
  <c r="J41" i="3"/>
  <c r="J53" i="3" s="1"/>
  <c r="J37" i="3"/>
  <c r="J43" i="3" s="1"/>
  <c r="E33" i="3"/>
  <c r="E39" i="3" s="1"/>
  <c r="D33" i="3"/>
  <c r="D39" i="3" s="1"/>
  <c r="D51" i="3" s="1"/>
  <c r="J31" i="3"/>
  <c r="I31" i="3"/>
  <c r="H31" i="3"/>
  <c r="G31" i="3"/>
  <c r="F31" i="3"/>
  <c r="E31" i="3"/>
  <c r="D31" i="3"/>
  <c r="C31" i="3"/>
  <c r="J30" i="3"/>
  <c r="I30" i="3"/>
  <c r="H30" i="3"/>
  <c r="G30" i="3"/>
  <c r="F30" i="3"/>
  <c r="E30" i="3"/>
  <c r="D30" i="3"/>
  <c r="C30" i="3"/>
  <c r="J29" i="3"/>
  <c r="J35" i="3" s="1"/>
  <c r="I29" i="3"/>
  <c r="H29" i="3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63" i="3" s="1"/>
  <c r="I25" i="3"/>
  <c r="I63" i="3" s="1"/>
  <c r="I87" i="3" s="1"/>
  <c r="H25" i="3"/>
  <c r="G25" i="3"/>
  <c r="F25" i="3"/>
  <c r="F63" i="3" s="1"/>
  <c r="F87" i="3" s="1"/>
  <c r="E25" i="3"/>
  <c r="E49" i="3" s="1"/>
  <c r="D25" i="3"/>
  <c r="C25" i="3"/>
  <c r="J24" i="3"/>
  <c r="I24" i="3"/>
  <c r="H24" i="3"/>
  <c r="G24" i="3"/>
  <c r="F24" i="3"/>
  <c r="E24" i="3"/>
  <c r="D24" i="3"/>
  <c r="C24" i="3"/>
  <c r="J23" i="3"/>
  <c r="J47" i="3" s="1"/>
  <c r="I23" i="3"/>
  <c r="H23" i="3"/>
  <c r="G23" i="3"/>
  <c r="F23" i="3"/>
  <c r="E23" i="3"/>
  <c r="E47" i="3" s="1"/>
  <c r="D23" i="3"/>
  <c r="D35" i="3" s="1"/>
  <c r="D41" i="3" s="1"/>
  <c r="C23" i="3"/>
  <c r="C47" i="3" s="1"/>
  <c r="J22" i="3"/>
  <c r="J46" i="3" s="1"/>
  <c r="I22" i="3"/>
  <c r="H22" i="3"/>
  <c r="H46" i="3" s="1"/>
  <c r="G22" i="3"/>
  <c r="G46" i="3" s="1"/>
  <c r="F22" i="3"/>
  <c r="E22" i="3"/>
  <c r="E46" i="3" s="1"/>
  <c r="D22" i="3"/>
  <c r="D46" i="3" s="1"/>
  <c r="C22" i="3"/>
  <c r="C46" i="3" s="1"/>
  <c r="J21" i="3"/>
  <c r="J45" i="3" s="1"/>
  <c r="I21" i="3"/>
  <c r="H21" i="3"/>
  <c r="G21" i="3"/>
  <c r="F21" i="3"/>
  <c r="E21" i="3"/>
  <c r="D21" i="3"/>
  <c r="D45" i="3" s="1"/>
  <c r="C21" i="3"/>
  <c r="K120" i="2"/>
  <c r="J106" i="2"/>
  <c r="I106" i="2"/>
  <c r="H106" i="2"/>
  <c r="G106" i="2"/>
  <c r="E104" i="2"/>
  <c r="D104" i="2"/>
  <c r="C104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E63" i="2"/>
  <c r="D63" i="2"/>
  <c r="E49" i="2"/>
  <c r="D49" i="2"/>
  <c r="C49" i="2"/>
  <c r="J48" i="2"/>
  <c r="E48" i="2"/>
  <c r="D48" i="2"/>
  <c r="C48" i="2"/>
  <c r="J47" i="2"/>
  <c r="I47" i="2"/>
  <c r="H47" i="2"/>
  <c r="C47" i="2"/>
  <c r="J46" i="2"/>
  <c r="I46" i="2"/>
  <c r="F46" i="2"/>
  <c r="E46" i="2"/>
  <c r="D37" i="2"/>
  <c r="D43" i="2" s="1"/>
  <c r="D55" i="2" s="1"/>
  <c r="G33" i="2"/>
  <c r="G39" i="2" s="1"/>
  <c r="F33" i="2"/>
  <c r="F39" i="2" s="1"/>
  <c r="F51" i="2" s="1"/>
  <c r="E33" i="2"/>
  <c r="E39" i="2" s="1"/>
  <c r="E51" i="2" s="1"/>
  <c r="D33" i="2"/>
  <c r="D39" i="2" s="1"/>
  <c r="D51" i="2" s="1"/>
  <c r="J31" i="2"/>
  <c r="I31" i="2"/>
  <c r="H31" i="2"/>
  <c r="G31" i="2"/>
  <c r="F31" i="2"/>
  <c r="E31" i="2"/>
  <c r="D31" i="2"/>
  <c r="C31" i="2"/>
  <c r="C37" i="2" s="1"/>
  <c r="C43" i="2" s="1"/>
  <c r="J30" i="2"/>
  <c r="J36" i="2" s="1"/>
  <c r="J42" i="2" s="1"/>
  <c r="I30" i="2"/>
  <c r="H30" i="2"/>
  <c r="G30" i="2"/>
  <c r="F30" i="2"/>
  <c r="E30" i="2"/>
  <c r="E36" i="2" s="1"/>
  <c r="E42" i="2" s="1"/>
  <c r="E54" i="2" s="1"/>
  <c r="D30" i="2"/>
  <c r="C30" i="2"/>
  <c r="J29" i="2"/>
  <c r="J35" i="2" s="1"/>
  <c r="J41" i="2" s="1"/>
  <c r="J53" i="2" s="1"/>
  <c r="I29" i="2"/>
  <c r="I35" i="2" s="1"/>
  <c r="I41" i="2" s="1"/>
  <c r="H29" i="2"/>
  <c r="G29" i="2"/>
  <c r="G35" i="2" s="1"/>
  <c r="G41" i="2" s="1"/>
  <c r="G53" i="2" s="1"/>
  <c r="F29" i="2"/>
  <c r="E29" i="2"/>
  <c r="D29" i="2"/>
  <c r="C29" i="2"/>
  <c r="J28" i="2"/>
  <c r="I28" i="2"/>
  <c r="H28" i="2"/>
  <c r="G28" i="2"/>
  <c r="F28" i="2"/>
  <c r="F34" i="2" s="1"/>
  <c r="F40" i="2" s="1"/>
  <c r="E28" i="2"/>
  <c r="E34" i="2" s="1"/>
  <c r="E40" i="2" s="1"/>
  <c r="D28" i="2"/>
  <c r="D34" i="2" s="1"/>
  <c r="D40" i="2" s="1"/>
  <c r="C28" i="2"/>
  <c r="J27" i="2"/>
  <c r="I27" i="2"/>
  <c r="H27" i="2"/>
  <c r="G27" i="2"/>
  <c r="F27" i="2"/>
  <c r="E27" i="2"/>
  <c r="D27" i="2"/>
  <c r="C27" i="2"/>
  <c r="J25" i="2"/>
  <c r="I25" i="2"/>
  <c r="H25" i="2"/>
  <c r="H37" i="2" s="1"/>
  <c r="H43" i="2" s="1"/>
  <c r="G25" i="2"/>
  <c r="F25" i="2"/>
  <c r="E25" i="2"/>
  <c r="D25" i="2"/>
  <c r="C25" i="2"/>
  <c r="C63" i="2" s="1"/>
  <c r="J24" i="2"/>
  <c r="I24" i="2"/>
  <c r="I48" i="2" s="1"/>
  <c r="H24" i="2"/>
  <c r="G24" i="2"/>
  <c r="G48" i="2" s="1"/>
  <c r="F24" i="2"/>
  <c r="E24" i="2"/>
  <c r="D24" i="2"/>
  <c r="C24" i="2"/>
  <c r="J23" i="2"/>
  <c r="I23" i="2"/>
  <c r="H23" i="2"/>
  <c r="G23" i="2"/>
  <c r="G47" i="2" s="1"/>
  <c r="F23" i="2"/>
  <c r="F47" i="2" s="1"/>
  <c r="E23" i="2"/>
  <c r="E47" i="2" s="1"/>
  <c r="D23" i="2"/>
  <c r="C23" i="2"/>
  <c r="C35" i="2" s="1"/>
  <c r="C41" i="2" s="1"/>
  <c r="J22" i="2"/>
  <c r="J34" i="2" s="1"/>
  <c r="J40" i="2" s="1"/>
  <c r="I22" i="2"/>
  <c r="I34" i="2" s="1"/>
  <c r="I40" i="2" s="1"/>
  <c r="H22" i="2"/>
  <c r="G22" i="2"/>
  <c r="F22" i="2"/>
  <c r="E22" i="2"/>
  <c r="D22" i="2"/>
  <c r="D46" i="2" s="1"/>
  <c r="C22" i="2"/>
  <c r="J21" i="2"/>
  <c r="I21" i="2"/>
  <c r="H21" i="2"/>
  <c r="G21" i="2"/>
  <c r="G45" i="2" s="1"/>
  <c r="F21" i="2"/>
  <c r="F45" i="2" s="1"/>
  <c r="E21" i="2"/>
  <c r="E45" i="2" s="1"/>
  <c r="D21" i="2"/>
  <c r="D45" i="2" s="1"/>
  <c r="C21" i="2"/>
  <c r="E16" i="2"/>
  <c r="D16" i="2"/>
  <c r="C16" i="2"/>
  <c r="B37" i="1"/>
  <c r="B38" i="1" s="1"/>
  <c r="G104" i="3" s="1"/>
  <c r="B30" i="1"/>
  <c r="B29" i="1"/>
  <c r="B28" i="1"/>
  <c r="B23" i="1"/>
  <c r="B26" i="1" s="1"/>
  <c r="B14" i="1"/>
  <c r="D53" i="3" l="1"/>
  <c r="I48" i="3"/>
  <c r="I36" i="3"/>
  <c r="I42" i="3" s="1"/>
  <c r="I54" i="3" s="1"/>
  <c r="C49" i="3"/>
  <c r="C37" i="3"/>
  <c r="C43" i="3" s="1"/>
  <c r="C55" i="3" s="1"/>
  <c r="C63" i="3"/>
  <c r="C64" i="3" s="1"/>
  <c r="C88" i="3" s="1"/>
  <c r="I34" i="3"/>
  <c r="I40" i="3" s="1"/>
  <c r="I52" i="3" s="1"/>
  <c r="G37" i="3"/>
  <c r="G43" i="3" s="1"/>
  <c r="G55" i="3" s="1"/>
  <c r="G61" i="3" s="1"/>
  <c r="H46" i="2"/>
  <c r="H34" i="2"/>
  <c r="H40" i="2" s="1"/>
  <c r="H52" i="2" s="1"/>
  <c r="G49" i="2"/>
  <c r="G37" i="2"/>
  <c r="G43" i="2" s="1"/>
  <c r="G55" i="2" s="1"/>
  <c r="I48" i="4"/>
  <c r="I36" i="4"/>
  <c r="I42" i="4" s="1"/>
  <c r="I54" i="4" s="1"/>
  <c r="E57" i="2"/>
  <c r="G63" i="2"/>
  <c r="G64" i="2" s="1"/>
  <c r="D46" i="4"/>
  <c r="D34" i="4"/>
  <c r="D40" i="4" s="1"/>
  <c r="D52" i="4" s="1"/>
  <c r="C53" i="2"/>
  <c r="C59" i="2" s="1"/>
  <c r="F57" i="2"/>
  <c r="C75" i="2"/>
  <c r="C81" i="2" s="1"/>
  <c r="E34" i="4"/>
  <c r="E40" i="4" s="1"/>
  <c r="E46" i="4"/>
  <c r="C49" i="4"/>
  <c r="C37" i="4"/>
  <c r="C43" i="4" s="1"/>
  <c r="C55" i="4" s="1"/>
  <c r="C63" i="4"/>
  <c r="H36" i="3"/>
  <c r="H42" i="3" s="1"/>
  <c r="H48" i="3"/>
  <c r="F49" i="2"/>
  <c r="F37" i="2"/>
  <c r="F43" i="2" s="1"/>
  <c r="F55" i="2" s="1"/>
  <c r="F34" i="4"/>
  <c r="F40" i="4" s="1"/>
  <c r="F52" i="4" s="1"/>
  <c r="E60" i="2"/>
  <c r="J48" i="3"/>
  <c r="J36" i="3"/>
  <c r="J42" i="3" s="1"/>
  <c r="J54" i="3" s="1"/>
  <c r="F34" i="3"/>
  <c r="F40" i="3" s="1"/>
  <c r="J33" i="4"/>
  <c r="J39" i="4" s="1"/>
  <c r="J45" i="4"/>
  <c r="D57" i="2"/>
  <c r="F63" i="2"/>
  <c r="F75" i="2" s="1"/>
  <c r="F81" i="2" s="1"/>
  <c r="C46" i="4"/>
  <c r="C34" i="4"/>
  <c r="C40" i="4" s="1"/>
  <c r="C52" i="4" s="1"/>
  <c r="J16" i="4"/>
  <c r="I16" i="4"/>
  <c r="I60" i="4" s="1"/>
  <c r="I16" i="3"/>
  <c r="H16" i="4"/>
  <c r="H57" i="4" s="1"/>
  <c r="H16" i="3"/>
  <c r="G16" i="4"/>
  <c r="G57" i="4" s="1"/>
  <c r="G16" i="3"/>
  <c r="F16" i="3"/>
  <c r="E16" i="3"/>
  <c r="D16" i="4"/>
  <c r="D16" i="3"/>
  <c r="C16" i="4"/>
  <c r="F16" i="2"/>
  <c r="E16" i="4"/>
  <c r="E60" i="4" s="1"/>
  <c r="H16" i="2"/>
  <c r="G16" i="2"/>
  <c r="J16" i="3"/>
  <c r="J107" i="3" s="1"/>
  <c r="F16" i="4"/>
  <c r="F57" i="4" s="1"/>
  <c r="J16" i="2"/>
  <c r="D35" i="2"/>
  <c r="D41" i="2" s="1"/>
  <c r="D47" i="2"/>
  <c r="G51" i="2"/>
  <c r="G57" i="2" s="1"/>
  <c r="E37" i="4"/>
  <c r="E43" i="4" s="1"/>
  <c r="E55" i="4" s="1"/>
  <c r="H34" i="4"/>
  <c r="H40" i="4" s="1"/>
  <c r="H52" i="4" s="1"/>
  <c r="H58" i="4" s="1"/>
  <c r="D61" i="2"/>
  <c r="G63" i="3"/>
  <c r="I46" i="3"/>
  <c r="D47" i="3"/>
  <c r="F46" i="4"/>
  <c r="E35" i="3"/>
  <c r="E41" i="3" s="1"/>
  <c r="E53" i="3" s="1"/>
  <c r="E52" i="2"/>
  <c r="E58" i="2" s="1"/>
  <c r="H46" i="4"/>
  <c r="J33" i="2"/>
  <c r="J39" i="2" s="1"/>
  <c r="F52" i="2"/>
  <c r="F58" i="2" s="1"/>
  <c r="C34" i="2"/>
  <c r="C40" i="2" s="1"/>
  <c r="G54" i="4"/>
  <c r="D37" i="4"/>
  <c r="D43" i="4" s="1"/>
  <c r="D55" i="4" s="1"/>
  <c r="D61" i="4" s="1"/>
  <c r="G34" i="4"/>
  <c r="G40" i="4" s="1"/>
  <c r="E51" i="3"/>
  <c r="E57" i="3" s="1"/>
  <c r="J34" i="4"/>
  <c r="J40" i="4" s="1"/>
  <c r="J52" i="4" s="1"/>
  <c r="F75" i="3"/>
  <c r="F81" i="3" s="1"/>
  <c r="F93" i="3" s="1"/>
  <c r="D63" i="4"/>
  <c r="D87" i="4" s="1"/>
  <c r="E35" i="2"/>
  <c r="E41" i="2" s="1"/>
  <c r="E53" i="2" s="1"/>
  <c r="E59" i="2" s="1"/>
  <c r="D57" i="3"/>
  <c r="E63" i="4"/>
  <c r="E87" i="4" s="1"/>
  <c r="G34" i="3"/>
  <c r="G40" i="3" s="1"/>
  <c r="G52" i="3" s="1"/>
  <c r="E63" i="3"/>
  <c r="H34" i="3"/>
  <c r="H40" i="3" s="1"/>
  <c r="C36" i="2"/>
  <c r="C42" i="2" s="1"/>
  <c r="C54" i="2" s="1"/>
  <c r="C60" i="2" s="1"/>
  <c r="C35" i="3"/>
  <c r="C41" i="3" s="1"/>
  <c r="C53" i="3" s="1"/>
  <c r="C59" i="3" s="1"/>
  <c r="F64" i="3"/>
  <c r="D52" i="2"/>
  <c r="D58" i="2" s="1"/>
  <c r="J54" i="2"/>
  <c r="J60" i="2" s="1"/>
  <c r="G46" i="4"/>
  <c r="C37" i="7"/>
  <c r="C55" i="2"/>
  <c r="C61" i="2" s="1"/>
  <c r="J33" i="3"/>
  <c r="J39" i="3" s="1"/>
  <c r="J51" i="3" s="1"/>
  <c r="H36" i="4"/>
  <c r="H42" i="4" s="1"/>
  <c r="H54" i="4" s="1"/>
  <c r="B31" i="1"/>
  <c r="C34" i="3"/>
  <c r="C40" i="3" s="1"/>
  <c r="C52" i="3" s="1"/>
  <c r="C58" i="3" s="1"/>
  <c r="F37" i="3"/>
  <c r="F43" i="3" s="1"/>
  <c r="J36" i="4"/>
  <c r="J42" i="4" s="1"/>
  <c r="J54" i="4" s="1"/>
  <c r="E34" i="3"/>
  <c r="E40" i="3" s="1"/>
  <c r="E52" i="3" s="1"/>
  <c r="I37" i="3"/>
  <c r="I43" i="3" s="1"/>
  <c r="F49" i="3"/>
  <c r="D49" i="4"/>
  <c r="C93" i="2"/>
  <c r="C99" i="2" s="1"/>
  <c r="H45" i="2"/>
  <c r="H33" i="2"/>
  <c r="H39" i="2" s="1"/>
  <c r="H51" i="2" s="1"/>
  <c r="D37" i="3"/>
  <c r="D43" i="3" s="1"/>
  <c r="D63" i="3"/>
  <c r="D49" i="3"/>
  <c r="F45" i="3"/>
  <c r="F33" i="3"/>
  <c r="F39" i="3" s="1"/>
  <c r="F51" i="3" s="1"/>
  <c r="F57" i="3" s="1"/>
  <c r="H107" i="3"/>
  <c r="D51" i="4"/>
  <c r="D57" i="4" s="1"/>
  <c r="G45" i="3"/>
  <c r="G33" i="3"/>
  <c r="G39" i="3" s="1"/>
  <c r="G51" i="3" s="1"/>
  <c r="G57" i="3" s="1"/>
  <c r="E36" i="3"/>
  <c r="E42" i="3" s="1"/>
  <c r="E48" i="3"/>
  <c r="C87" i="3"/>
  <c r="C75" i="3"/>
  <c r="C81" i="3" s="1"/>
  <c r="C93" i="3" s="1"/>
  <c r="I107" i="3"/>
  <c r="H45" i="3"/>
  <c r="H33" i="3"/>
  <c r="H39" i="3" s="1"/>
  <c r="F48" i="3"/>
  <c r="F36" i="3"/>
  <c r="F42" i="3" s="1"/>
  <c r="F54" i="3" s="1"/>
  <c r="E87" i="3"/>
  <c r="E64" i="3"/>
  <c r="E75" i="3"/>
  <c r="E81" i="3" s="1"/>
  <c r="E93" i="3" s="1"/>
  <c r="I45" i="3"/>
  <c r="I33" i="3"/>
  <c r="I39" i="3" s="1"/>
  <c r="I51" i="3" s="1"/>
  <c r="I57" i="3" s="1"/>
  <c r="G36" i="3"/>
  <c r="G42" i="3" s="1"/>
  <c r="G48" i="3"/>
  <c r="F36" i="2"/>
  <c r="F42" i="2" s="1"/>
  <c r="F48" i="2"/>
  <c r="I33" i="2"/>
  <c r="I39" i="2" s="1"/>
  <c r="I45" i="2"/>
  <c r="F61" i="2"/>
  <c r="C48" i="7"/>
  <c r="B27" i="7"/>
  <c r="H55" i="2"/>
  <c r="F46" i="3"/>
  <c r="C46" i="2"/>
  <c r="G107" i="3"/>
  <c r="C76" i="3"/>
  <c r="C82" i="3" s="1"/>
  <c r="C94" i="3" s="1"/>
  <c r="C65" i="3"/>
  <c r="F63" i="4"/>
  <c r="F49" i="4"/>
  <c r="F55" i="4" s="1"/>
  <c r="E35" i="7"/>
  <c r="E46" i="7" s="1"/>
  <c r="I34" i="4"/>
  <c r="I40" i="4" s="1"/>
  <c r="I46" i="4"/>
  <c r="G37" i="4"/>
  <c r="G43" i="4" s="1"/>
  <c r="G49" i="4"/>
  <c r="G63" i="4"/>
  <c r="C57" i="4"/>
  <c r="C27" i="7"/>
  <c r="J45" i="2"/>
  <c r="J51" i="2" s="1"/>
  <c r="J57" i="2" s="1"/>
  <c r="D36" i="3"/>
  <c r="D42" i="3" s="1"/>
  <c r="D48" i="3"/>
  <c r="G36" i="2"/>
  <c r="G42" i="2" s="1"/>
  <c r="G54" i="2" s="1"/>
  <c r="I36" i="2"/>
  <c r="I42" i="2" s="1"/>
  <c r="I54" i="2" s="1"/>
  <c r="C36" i="7"/>
  <c r="C47" i="7" s="1"/>
  <c r="H36" i="2"/>
  <c r="H42" i="2" s="1"/>
  <c r="H48" i="2"/>
  <c r="D36" i="7"/>
  <c r="D47" i="7" s="1"/>
  <c r="J37" i="4"/>
  <c r="J43" i="4" s="1"/>
  <c r="J63" i="4"/>
  <c r="J49" i="4"/>
  <c r="J52" i="2"/>
  <c r="G104" i="2"/>
  <c r="G107" i="2" s="1"/>
  <c r="J104" i="2"/>
  <c r="H47" i="4"/>
  <c r="H35" i="4"/>
  <c r="H41" i="4" s="1"/>
  <c r="H53" i="4" s="1"/>
  <c r="H104" i="2"/>
  <c r="I47" i="4"/>
  <c r="I35" i="4"/>
  <c r="I41" i="4" s="1"/>
  <c r="I53" i="4" s="1"/>
  <c r="H37" i="4"/>
  <c r="H43" i="4" s="1"/>
  <c r="H63" i="4"/>
  <c r="H49" i="4"/>
  <c r="C64" i="2"/>
  <c r="C87" i="2"/>
  <c r="C47" i="4"/>
  <c r="C35" i="4"/>
  <c r="C41" i="4" s="1"/>
  <c r="C53" i="4" s="1"/>
  <c r="I63" i="4"/>
  <c r="I49" i="4"/>
  <c r="I55" i="4" s="1"/>
  <c r="E57" i="4"/>
  <c r="C23" i="7"/>
  <c r="C34" i="7" s="1"/>
  <c r="C45" i="7" s="1"/>
  <c r="C22" i="7"/>
  <c r="C33" i="7" s="1"/>
  <c r="C44" i="7" s="1"/>
  <c r="C24" i="7"/>
  <c r="C35" i="7" s="1"/>
  <c r="C46" i="7" s="1"/>
  <c r="C104" i="4"/>
  <c r="C61" i="4" s="1"/>
  <c r="J104" i="4"/>
  <c r="J60" i="4" s="1"/>
  <c r="G104" i="4"/>
  <c r="G107" i="4" s="1"/>
  <c r="I104" i="4"/>
  <c r="H104" i="4"/>
  <c r="H107" i="4" s="1"/>
  <c r="J104" i="3"/>
  <c r="F104" i="4"/>
  <c r="H104" i="3"/>
  <c r="F104" i="3"/>
  <c r="E104" i="3"/>
  <c r="D104" i="3"/>
  <c r="C104" i="3"/>
  <c r="E104" i="4"/>
  <c r="D104" i="4"/>
  <c r="D75" i="2"/>
  <c r="D81" i="2" s="1"/>
  <c r="D64" i="2"/>
  <c r="D87" i="2"/>
  <c r="F104" i="2"/>
  <c r="D47" i="4"/>
  <c r="D35" i="4"/>
  <c r="D41" i="4" s="1"/>
  <c r="D53" i="4" s="1"/>
  <c r="D59" i="4" s="1"/>
  <c r="H49" i="2"/>
  <c r="H63" i="2"/>
  <c r="G59" i="2"/>
  <c r="E64" i="2"/>
  <c r="E75" i="2"/>
  <c r="E81" i="2" s="1"/>
  <c r="E87" i="2"/>
  <c r="J34" i="3"/>
  <c r="J40" i="3" s="1"/>
  <c r="J52" i="3" s="1"/>
  <c r="H37" i="3"/>
  <c r="H43" i="3" s="1"/>
  <c r="H63" i="3"/>
  <c r="H49" i="3"/>
  <c r="E35" i="4"/>
  <c r="E41" i="4" s="1"/>
  <c r="E47" i="4"/>
  <c r="E26" i="7"/>
  <c r="E25" i="7"/>
  <c r="E36" i="7" s="1"/>
  <c r="E47" i="7" s="1"/>
  <c r="E23" i="7"/>
  <c r="E34" i="7" s="1"/>
  <c r="E45" i="7" s="1"/>
  <c r="E22" i="7"/>
  <c r="E33" i="7" s="1"/>
  <c r="E44" i="7" s="1"/>
  <c r="I49" i="2"/>
  <c r="I37" i="2"/>
  <c r="I43" i="2" s="1"/>
  <c r="I55" i="2" s="1"/>
  <c r="I63" i="2"/>
  <c r="F64" i="2"/>
  <c r="F87" i="2"/>
  <c r="F35" i="4"/>
  <c r="F41" i="4" s="1"/>
  <c r="F53" i="4" s="1"/>
  <c r="E75" i="4"/>
  <c r="E81" i="4" s="1"/>
  <c r="E64" i="4"/>
  <c r="J63" i="2"/>
  <c r="J37" i="2"/>
  <c r="J43" i="2" s="1"/>
  <c r="I53" i="2"/>
  <c r="I104" i="2"/>
  <c r="G35" i="4"/>
  <c r="G41" i="4" s="1"/>
  <c r="G47" i="4"/>
  <c r="I104" i="3"/>
  <c r="I58" i="3" s="1"/>
  <c r="J35" i="4"/>
  <c r="J41" i="4" s="1"/>
  <c r="J47" i="4"/>
  <c r="C36" i="4"/>
  <c r="C42" i="4" s="1"/>
  <c r="C48" i="4"/>
  <c r="D36" i="4"/>
  <c r="D42" i="4" s="1"/>
  <c r="D48" i="4"/>
  <c r="J49" i="2"/>
  <c r="D26" i="7"/>
  <c r="D23" i="7"/>
  <c r="D34" i="7" s="1"/>
  <c r="D45" i="7" s="1"/>
  <c r="D22" i="7"/>
  <c r="D33" i="7" s="1"/>
  <c r="D44" i="7" s="1"/>
  <c r="I64" i="3"/>
  <c r="I75" i="3"/>
  <c r="I81" i="3" s="1"/>
  <c r="I93" i="3" s="1"/>
  <c r="F35" i="2"/>
  <c r="F41" i="2" s="1"/>
  <c r="F53" i="2" s="1"/>
  <c r="J87" i="3"/>
  <c r="J64" i="3"/>
  <c r="J75" i="3"/>
  <c r="J81" i="3" s="1"/>
  <c r="F36" i="4"/>
  <c r="F42" i="4" s="1"/>
  <c r="F54" i="4" s="1"/>
  <c r="H35" i="2"/>
  <c r="H41" i="2" s="1"/>
  <c r="H53" i="2" s="1"/>
  <c r="F47" i="3"/>
  <c r="F35" i="3"/>
  <c r="F41" i="3" s="1"/>
  <c r="F53" i="3" s="1"/>
  <c r="C33" i="2"/>
  <c r="C39" i="2" s="1"/>
  <c r="C45" i="2"/>
  <c r="G47" i="3"/>
  <c r="G35" i="3"/>
  <c r="G41" i="3" s="1"/>
  <c r="G53" i="3" s="1"/>
  <c r="G59" i="3" s="1"/>
  <c r="H47" i="3"/>
  <c r="H35" i="3"/>
  <c r="H41" i="3" s="1"/>
  <c r="H53" i="3" s="1"/>
  <c r="J107" i="2"/>
  <c r="C33" i="3"/>
  <c r="C39" i="3" s="1"/>
  <c r="C51" i="3" s="1"/>
  <c r="C57" i="3" s="1"/>
  <c r="I35" i="3"/>
  <c r="I41" i="3" s="1"/>
  <c r="I53" i="3" s="1"/>
  <c r="I59" i="3" s="1"/>
  <c r="I49" i="3"/>
  <c r="I55" i="3" s="1"/>
  <c r="I61" i="3" s="1"/>
  <c r="D36" i="2"/>
  <c r="D42" i="2" s="1"/>
  <c r="D54" i="2" s="1"/>
  <c r="D60" i="2" s="1"/>
  <c r="I52" i="2"/>
  <c r="J49" i="3"/>
  <c r="J55" i="3" s="1"/>
  <c r="C36" i="3"/>
  <c r="C42" i="3" s="1"/>
  <c r="C54" i="3" s="1"/>
  <c r="H52" i="3"/>
  <c r="D11" i="5"/>
  <c r="D12" i="5" s="1"/>
  <c r="D24" i="7"/>
  <c r="D35" i="7" s="1"/>
  <c r="D46" i="7" s="1"/>
  <c r="G34" i="2"/>
  <c r="G40" i="2" s="1"/>
  <c r="G46" i="2"/>
  <c r="E37" i="2"/>
  <c r="E43" i="2" s="1"/>
  <c r="E55" i="2" s="1"/>
  <c r="E61" i="2" s="1"/>
  <c r="D34" i="3"/>
  <c r="D40" i="3" s="1"/>
  <c r="D52" i="3" s="1"/>
  <c r="E37" i="3"/>
  <c r="E43" i="3" s="1"/>
  <c r="E55" i="3" s="1"/>
  <c r="I16" i="2"/>
  <c r="I107" i="2" s="1"/>
  <c r="C16" i="3"/>
  <c r="C61" i="3" s="1"/>
  <c r="H61" i="2" l="1"/>
  <c r="F61" i="4"/>
  <c r="I57" i="4"/>
  <c r="E61" i="4"/>
  <c r="D75" i="4"/>
  <c r="D81" i="4" s="1"/>
  <c r="D93" i="4" s="1"/>
  <c r="D99" i="4" s="1"/>
  <c r="D59" i="3"/>
  <c r="E58" i="3"/>
  <c r="G75" i="2"/>
  <c r="G81" i="2" s="1"/>
  <c r="E53" i="4"/>
  <c r="E59" i="4" s="1"/>
  <c r="F88" i="3"/>
  <c r="F76" i="3"/>
  <c r="F82" i="3" s="1"/>
  <c r="F94" i="3" s="1"/>
  <c r="F100" i="3" s="1"/>
  <c r="F65" i="3"/>
  <c r="G87" i="2"/>
  <c r="G93" i="2" s="1"/>
  <c r="G99" i="2" s="1"/>
  <c r="I60" i="3"/>
  <c r="I59" i="2"/>
  <c r="I59" i="4"/>
  <c r="H57" i="2"/>
  <c r="F59" i="2"/>
  <c r="J55" i="2"/>
  <c r="J61" i="2" s="1"/>
  <c r="J59" i="3"/>
  <c r="G60" i="2"/>
  <c r="D53" i="2"/>
  <c r="D59" i="2" s="1"/>
  <c r="J59" i="2"/>
  <c r="F55" i="3"/>
  <c r="J58" i="2"/>
  <c r="C52" i="2"/>
  <c r="C58" i="2" s="1"/>
  <c r="H54" i="3"/>
  <c r="C64" i="4"/>
  <c r="C75" i="4"/>
  <c r="C81" i="4" s="1"/>
  <c r="C87" i="4"/>
  <c r="J61" i="3"/>
  <c r="J58" i="3"/>
  <c r="J51" i="4"/>
  <c r="J57" i="4" s="1"/>
  <c r="J57" i="3"/>
  <c r="D58" i="4"/>
  <c r="G52" i="4"/>
  <c r="G58" i="4" s="1"/>
  <c r="D64" i="4"/>
  <c r="D88" i="4" s="1"/>
  <c r="H60" i="3"/>
  <c r="G87" i="3"/>
  <c r="G64" i="3"/>
  <c r="G75" i="3"/>
  <c r="G81" i="3" s="1"/>
  <c r="G93" i="3" s="1"/>
  <c r="G99" i="3" s="1"/>
  <c r="I58" i="2"/>
  <c r="I99" i="3"/>
  <c r="I107" i="4"/>
  <c r="F52" i="3"/>
  <c r="F58" i="3" s="1"/>
  <c r="G58" i="3"/>
  <c r="E52" i="4"/>
  <c r="H51" i="3"/>
  <c r="H57" i="3" s="1"/>
  <c r="H55" i="4"/>
  <c r="H61" i="4" s="1"/>
  <c r="H60" i="4"/>
  <c r="F58" i="4"/>
  <c r="H87" i="4"/>
  <c r="H75" i="4"/>
  <c r="H81" i="4" s="1"/>
  <c r="H64" i="4"/>
  <c r="I52" i="4"/>
  <c r="I58" i="4" s="1"/>
  <c r="E99" i="3"/>
  <c r="J64" i="2"/>
  <c r="J87" i="2"/>
  <c r="J75" i="2"/>
  <c r="J81" i="2" s="1"/>
  <c r="J93" i="2" s="1"/>
  <c r="J99" i="2" s="1"/>
  <c r="H64" i="3"/>
  <c r="H75" i="3"/>
  <c r="H81" i="3" s="1"/>
  <c r="H87" i="3"/>
  <c r="E59" i="3"/>
  <c r="J55" i="4"/>
  <c r="J61" i="4" s="1"/>
  <c r="H55" i="3"/>
  <c r="H61" i="3" s="1"/>
  <c r="F75" i="4"/>
  <c r="F81" i="4" s="1"/>
  <c r="F64" i="4"/>
  <c r="F87" i="4"/>
  <c r="D27" i="7"/>
  <c r="D37" i="7"/>
  <c r="D48" i="7" s="1"/>
  <c r="E88" i="4"/>
  <c r="E76" i="4"/>
  <c r="E82" i="4" s="1"/>
  <c r="E94" i="4" s="1"/>
  <c r="E100" i="4" s="1"/>
  <c r="E65" i="4"/>
  <c r="E93" i="4"/>
  <c r="E99" i="4" s="1"/>
  <c r="F60" i="3"/>
  <c r="F59" i="4"/>
  <c r="H54" i="2"/>
  <c r="H60" i="2" s="1"/>
  <c r="C100" i="3"/>
  <c r="B38" i="7"/>
  <c r="B49" i="7" s="1"/>
  <c r="B28" i="7"/>
  <c r="H59" i="3"/>
  <c r="E65" i="2"/>
  <c r="E76" i="2"/>
  <c r="E82" i="2" s="1"/>
  <c r="E88" i="2"/>
  <c r="I61" i="4"/>
  <c r="D55" i="3"/>
  <c r="D61" i="3" s="1"/>
  <c r="E61" i="3"/>
  <c r="D54" i="4"/>
  <c r="D60" i="4" s="1"/>
  <c r="F65" i="2"/>
  <c r="F76" i="2"/>
  <c r="F82" i="2" s="1"/>
  <c r="F88" i="2"/>
  <c r="H64" i="2"/>
  <c r="H87" i="2"/>
  <c r="H75" i="2"/>
  <c r="H81" i="2" s="1"/>
  <c r="H93" i="2" s="1"/>
  <c r="H99" i="2" s="1"/>
  <c r="J107" i="4"/>
  <c r="J58" i="4"/>
  <c r="D58" i="3"/>
  <c r="G60" i="4"/>
  <c r="F93" i="2"/>
  <c r="F99" i="2" s="1"/>
  <c r="I60" i="2"/>
  <c r="H107" i="2"/>
  <c r="H58" i="2"/>
  <c r="I51" i="2"/>
  <c r="I57" i="2" s="1"/>
  <c r="C54" i="4"/>
  <c r="C60" i="4" s="1"/>
  <c r="C99" i="3"/>
  <c r="G52" i="2"/>
  <c r="G58" i="2" s="1"/>
  <c r="J53" i="4"/>
  <c r="J59" i="4" s="1"/>
  <c r="C58" i="4"/>
  <c r="E54" i="3"/>
  <c r="E60" i="3" s="1"/>
  <c r="G53" i="4"/>
  <c r="G59" i="4" s="1"/>
  <c r="E58" i="4"/>
  <c r="F99" i="3"/>
  <c r="J60" i="3"/>
  <c r="I64" i="2"/>
  <c r="I87" i="2"/>
  <c r="I75" i="2"/>
  <c r="I81" i="2" s="1"/>
  <c r="I93" i="2" s="1"/>
  <c r="I99" i="2" s="1"/>
  <c r="C51" i="2"/>
  <c r="C57" i="2" s="1"/>
  <c r="I61" i="2"/>
  <c r="F59" i="3"/>
  <c r="D54" i="3"/>
  <c r="D60" i="3" s="1"/>
  <c r="F54" i="2"/>
  <c r="F60" i="2" s="1"/>
  <c r="H59" i="4"/>
  <c r="F61" i="3"/>
  <c r="H59" i="2"/>
  <c r="I87" i="4"/>
  <c r="I75" i="4"/>
  <c r="I81" i="4" s="1"/>
  <c r="I93" i="4" s="1"/>
  <c r="I99" i="4" s="1"/>
  <c r="I64" i="4"/>
  <c r="F60" i="4"/>
  <c r="D88" i="2"/>
  <c r="D65" i="2"/>
  <c r="D76" i="2"/>
  <c r="D82" i="2" s="1"/>
  <c r="D94" i="2" s="1"/>
  <c r="D100" i="2" s="1"/>
  <c r="C59" i="4"/>
  <c r="C28" i="7"/>
  <c r="C38" i="7"/>
  <c r="C49" i="7" s="1"/>
  <c r="G61" i="2"/>
  <c r="J93" i="3"/>
  <c r="J99" i="3" s="1"/>
  <c r="E37" i="7"/>
  <c r="E48" i="7" s="1"/>
  <c r="E27" i="7"/>
  <c r="D93" i="2"/>
  <c r="D99" i="2" s="1"/>
  <c r="H58" i="3"/>
  <c r="J76" i="3"/>
  <c r="J82" i="3" s="1"/>
  <c r="J65" i="3"/>
  <c r="J88" i="3"/>
  <c r="G64" i="4"/>
  <c r="G75" i="4"/>
  <c r="G81" i="4" s="1"/>
  <c r="G87" i="4"/>
  <c r="G54" i="3"/>
  <c r="G60" i="3" s="1"/>
  <c r="C88" i="2"/>
  <c r="C65" i="2"/>
  <c r="C76" i="2"/>
  <c r="C82" i="2" s="1"/>
  <c r="C94" i="2" s="1"/>
  <c r="C100" i="2" s="1"/>
  <c r="I65" i="3"/>
  <c r="I76" i="3"/>
  <c r="I82" i="3" s="1"/>
  <c r="I88" i="3"/>
  <c r="J87" i="4"/>
  <c r="J75" i="4"/>
  <c r="J81" i="4" s="1"/>
  <c r="J93" i="4" s="1"/>
  <c r="J99" i="4" s="1"/>
  <c r="J64" i="4"/>
  <c r="E76" i="3"/>
  <c r="E82" i="3" s="1"/>
  <c r="E65" i="3"/>
  <c r="E88" i="3"/>
  <c r="C66" i="3"/>
  <c r="C89" i="3"/>
  <c r="C77" i="3"/>
  <c r="C83" i="3" s="1"/>
  <c r="C95" i="3" s="1"/>
  <c r="C101" i="3" s="1"/>
  <c r="E93" i="2"/>
  <c r="E99" i="2" s="1"/>
  <c r="D64" i="3"/>
  <c r="D87" i="3"/>
  <c r="D75" i="3"/>
  <c r="D81" i="3" s="1"/>
  <c r="D93" i="3" s="1"/>
  <c r="D99" i="3" s="1"/>
  <c r="C60" i="3"/>
  <c r="G65" i="2"/>
  <c r="G76" i="2"/>
  <c r="G82" i="2" s="1"/>
  <c r="G88" i="2"/>
  <c r="G55" i="4"/>
  <c r="G61" i="4" s="1"/>
  <c r="D65" i="4" l="1"/>
  <c r="C93" i="4"/>
  <c r="C99" i="4" s="1"/>
  <c r="C65" i="4"/>
  <c r="C88" i="4"/>
  <c r="C76" i="4"/>
  <c r="C82" i="4" s="1"/>
  <c r="C94" i="4" s="1"/>
  <c r="C100" i="4" s="1"/>
  <c r="E94" i="2"/>
  <c r="E100" i="2" s="1"/>
  <c r="G88" i="3"/>
  <c r="G76" i="3"/>
  <c r="G82" i="3" s="1"/>
  <c r="G94" i="3" s="1"/>
  <c r="G100" i="3" s="1"/>
  <c r="G65" i="3"/>
  <c r="F77" i="3"/>
  <c r="F83" i="3" s="1"/>
  <c r="F66" i="3"/>
  <c r="F89" i="3"/>
  <c r="I94" i="3"/>
  <c r="I100" i="3" s="1"/>
  <c r="D76" i="4"/>
  <c r="D82" i="4" s="1"/>
  <c r="D94" i="4" s="1"/>
  <c r="D100" i="4" s="1"/>
  <c r="H65" i="3"/>
  <c r="H76" i="3"/>
  <c r="H82" i="3" s="1"/>
  <c r="H88" i="3"/>
  <c r="G89" i="2"/>
  <c r="G77" i="2"/>
  <c r="G83" i="2" s="1"/>
  <c r="G95" i="2" s="1"/>
  <c r="G101" i="2" s="1"/>
  <c r="G66" i="2"/>
  <c r="C77" i="2"/>
  <c r="C83" i="2" s="1"/>
  <c r="C66" i="2"/>
  <c r="C89" i="2"/>
  <c r="G93" i="4"/>
  <c r="G99" i="4" s="1"/>
  <c r="D77" i="2"/>
  <c r="D83" i="2" s="1"/>
  <c r="D89" i="2"/>
  <c r="D66" i="2"/>
  <c r="H88" i="2"/>
  <c r="H65" i="2"/>
  <c r="H76" i="2"/>
  <c r="H82" i="2" s="1"/>
  <c r="H94" i="2" s="1"/>
  <c r="H100" i="2" s="1"/>
  <c r="H93" i="4"/>
  <c r="H99" i="4" s="1"/>
  <c r="G65" i="4"/>
  <c r="G76" i="4"/>
  <c r="G82" i="4" s="1"/>
  <c r="G88" i="4"/>
  <c r="F94" i="2"/>
  <c r="F100" i="2" s="1"/>
  <c r="J66" i="3"/>
  <c r="J89" i="3"/>
  <c r="J77" i="3"/>
  <c r="J83" i="3" s="1"/>
  <c r="J95" i="3" s="1"/>
  <c r="J101" i="3" s="1"/>
  <c r="J94" i="3"/>
  <c r="J100" i="3" s="1"/>
  <c r="C78" i="3"/>
  <c r="C84" i="3" s="1"/>
  <c r="C67" i="3"/>
  <c r="C90" i="3"/>
  <c r="J88" i="4"/>
  <c r="J65" i="4"/>
  <c r="J76" i="4"/>
  <c r="J82" i="4" s="1"/>
  <c r="E38" i="7"/>
  <c r="E49" i="7" s="1"/>
  <c r="E28" i="7"/>
  <c r="I89" i="3"/>
  <c r="I66" i="3"/>
  <c r="I77" i="3"/>
  <c r="I83" i="3" s="1"/>
  <c r="I95" i="3" s="1"/>
  <c r="I101" i="3" s="1"/>
  <c r="G94" i="2"/>
  <c r="G100" i="2" s="1"/>
  <c r="J76" i="2"/>
  <c r="J82" i="2" s="1"/>
  <c r="J88" i="2"/>
  <c r="J65" i="2"/>
  <c r="C39" i="7"/>
  <c r="C50" i="7" s="1"/>
  <c r="C29" i="7"/>
  <c r="E77" i="4"/>
  <c r="E83" i="4" s="1"/>
  <c r="E89" i="4"/>
  <c r="E66" i="4"/>
  <c r="I88" i="4"/>
  <c r="I65" i="4"/>
  <c r="I76" i="4"/>
  <c r="I82" i="4" s="1"/>
  <c r="F89" i="2"/>
  <c r="F77" i="2"/>
  <c r="F83" i="2" s="1"/>
  <c r="F95" i="2" s="1"/>
  <c r="F101" i="2" s="1"/>
  <c r="F66" i="2"/>
  <c r="D38" i="7"/>
  <c r="D49" i="7" s="1"/>
  <c r="D28" i="7"/>
  <c r="F76" i="4"/>
  <c r="F82" i="4" s="1"/>
  <c r="F88" i="4"/>
  <c r="F65" i="4"/>
  <c r="E77" i="3"/>
  <c r="E83" i="3" s="1"/>
  <c r="E66" i="3"/>
  <c r="E89" i="3"/>
  <c r="F93" i="4"/>
  <c r="F99" i="4" s="1"/>
  <c r="E94" i="3"/>
  <c r="E100" i="3" s="1"/>
  <c r="D89" i="4"/>
  <c r="D66" i="4"/>
  <c r="D77" i="4"/>
  <c r="D83" i="4" s="1"/>
  <c r="D95" i="4" s="1"/>
  <c r="D101" i="4" s="1"/>
  <c r="B39" i="7"/>
  <c r="B50" i="7" s="1"/>
  <c r="B29" i="7"/>
  <c r="I65" i="2"/>
  <c r="I76" i="2"/>
  <c r="I82" i="2" s="1"/>
  <c r="I88" i="2"/>
  <c r="H65" i="4"/>
  <c r="H76" i="4"/>
  <c r="H82" i="4" s="1"/>
  <c r="H88" i="4"/>
  <c r="D88" i="3"/>
  <c r="D76" i="3"/>
  <c r="D82" i="3" s="1"/>
  <c r="D94" i="3" s="1"/>
  <c r="D100" i="3" s="1"/>
  <c r="D65" i="3"/>
  <c r="E77" i="2"/>
  <c r="E83" i="2" s="1"/>
  <c r="E89" i="2"/>
  <c r="E66" i="2"/>
  <c r="H93" i="3"/>
  <c r="H99" i="3" s="1"/>
  <c r="F95" i="3" l="1"/>
  <c r="F101" i="3" s="1"/>
  <c r="G77" i="3"/>
  <c r="G83" i="3" s="1"/>
  <c r="G66" i="3"/>
  <c r="G89" i="3"/>
  <c r="F94" i="4"/>
  <c r="F100" i="4" s="1"/>
  <c r="J94" i="4"/>
  <c r="J100" i="4" s="1"/>
  <c r="J94" i="2"/>
  <c r="J100" i="2" s="1"/>
  <c r="E95" i="3"/>
  <c r="E101" i="3" s="1"/>
  <c r="F67" i="3"/>
  <c r="F90" i="3"/>
  <c r="F78" i="3"/>
  <c r="F84" i="3" s="1"/>
  <c r="F96" i="3" s="1"/>
  <c r="F102" i="3" s="1"/>
  <c r="C77" i="4"/>
  <c r="C83" i="4" s="1"/>
  <c r="C89" i="4"/>
  <c r="C66" i="4"/>
  <c r="I94" i="4"/>
  <c r="I100" i="4" s="1"/>
  <c r="E67" i="3"/>
  <c r="E90" i="3"/>
  <c r="E78" i="3"/>
  <c r="E84" i="3" s="1"/>
  <c r="E96" i="3" s="1"/>
  <c r="E102" i="3" s="1"/>
  <c r="H94" i="3"/>
  <c r="H100" i="3" s="1"/>
  <c r="H77" i="3"/>
  <c r="H83" i="3" s="1"/>
  <c r="H66" i="3"/>
  <c r="H89" i="3"/>
  <c r="D95" i="2"/>
  <c r="D101" i="2" s="1"/>
  <c r="H94" i="4"/>
  <c r="H100" i="4" s="1"/>
  <c r="H66" i="4"/>
  <c r="H89" i="4"/>
  <c r="H77" i="4"/>
  <c r="H83" i="4" s="1"/>
  <c r="H95" i="4" s="1"/>
  <c r="H101" i="4" s="1"/>
  <c r="I77" i="4"/>
  <c r="I83" i="4" s="1"/>
  <c r="I95" i="4" s="1"/>
  <c r="I101" i="4" s="1"/>
  <c r="I66" i="4"/>
  <c r="I89" i="4"/>
  <c r="I94" i="2"/>
  <c r="I100" i="2" s="1"/>
  <c r="C79" i="3"/>
  <c r="C85" i="3" s="1"/>
  <c r="C91" i="3"/>
  <c r="E67" i="4"/>
  <c r="E78" i="4"/>
  <c r="E84" i="4" s="1"/>
  <c r="E90" i="4"/>
  <c r="C96" i="3"/>
  <c r="C102" i="3" s="1"/>
  <c r="E95" i="4"/>
  <c r="E101" i="4" s="1"/>
  <c r="C30" i="7"/>
  <c r="C40" i="7"/>
  <c r="C51" i="7" s="1"/>
  <c r="G77" i="4"/>
  <c r="G83" i="4" s="1"/>
  <c r="G89" i="4"/>
  <c r="G66" i="4"/>
  <c r="E95" i="2"/>
  <c r="E101" i="2" s="1"/>
  <c r="I78" i="3"/>
  <c r="I84" i="3" s="1"/>
  <c r="I90" i="3"/>
  <c r="I67" i="3"/>
  <c r="D77" i="3"/>
  <c r="D83" i="3" s="1"/>
  <c r="D95" i="3" s="1"/>
  <c r="D101" i="3" s="1"/>
  <c r="D66" i="3"/>
  <c r="D89" i="3"/>
  <c r="D39" i="7"/>
  <c r="D50" i="7" s="1"/>
  <c r="D29" i="7"/>
  <c r="F78" i="2"/>
  <c r="F84" i="2" s="1"/>
  <c r="F90" i="2"/>
  <c r="F67" i="2"/>
  <c r="J77" i="4"/>
  <c r="J83" i="4" s="1"/>
  <c r="J89" i="4"/>
  <c r="J66" i="4"/>
  <c r="C67" i="2"/>
  <c r="C78" i="2"/>
  <c r="C84" i="2" s="1"/>
  <c r="C90" i="2"/>
  <c r="I89" i="2"/>
  <c r="I77" i="2"/>
  <c r="I83" i="2" s="1"/>
  <c r="I95" i="2" s="1"/>
  <c r="I101" i="2" s="1"/>
  <c r="I66" i="2"/>
  <c r="C95" i="2"/>
  <c r="C101" i="2" s="1"/>
  <c r="B30" i="7"/>
  <c r="B40" i="7"/>
  <c r="B51" i="7" s="1"/>
  <c r="D67" i="4"/>
  <c r="D78" i="4"/>
  <c r="D84" i="4" s="1"/>
  <c r="D90" i="4"/>
  <c r="J78" i="3"/>
  <c r="J84" i="3" s="1"/>
  <c r="J90" i="3"/>
  <c r="J67" i="3"/>
  <c r="J89" i="2"/>
  <c r="J77" i="2"/>
  <c r="J83" i="2" s="1"/>
  <c r="J95" i="2" s="1"/>
  <c r="J101" i="2" s="1"/>
  <c r="J66" i="2"/>
  <c r="E90" i="2"/>
  <c r="E78" i="2"/>
  <c r="E84" i="2" s="1"/>
  <c r="E96" i="2" s="1"/>
  <c r="E102" i="2" s="1"/>
  <c r="E67" i="2"/>
  <c r="F77" i="4"/>
  <c r="F83" i="4" s="1"/>
  <c r="F89" i="4"/>
  <c r="F66" i="4"/>
  <c r="H89" i="2"/>
  <c r="H77" i="2"/>
  <c r="H83" i="2" s="1"/>
  <c r="H95" i="2" s="1"/>
  <c r="H101" i="2" s="1"/>
  <c r="H66" i="2"/>
  <c r="E29" i="7"/>
  <c r="E39" i="7"/>
  <c r="E50" i="7" s="1"/>
  <c r="D90" i="2"/>
  <c r="D78" i="2"/>
  <c r="D84" i="2" s="1"/>
  <c r="D67" i="2"/>
  <c r="G94" i="4"/>
  <c r="G100" i="4" s="1"/>
  <c r="G78" i="2"/>
  <c r="G84" i="2" s="1"/>
  <c r="G67" i="2"/>
  <c r="G90" i="2"/>
  <c r="G95" i="3" l="1"/>
  <c r="G101" i="3" s="1"/>
  <c r="F95" i="4"/>
  <c r="F101" i="4" s="1"/>
  <c r="C78" i="4"/>
  <c r="C84" i="4" s="1"/>
  <c r="C96" i="4" s="1"/>
  <c r="C102" i="4" s="1"/>
  <c r="C67" i="4"/>
  <c r="C90" i="4"/>
  <c r="C95" i="4"/>
  <c r="C101" i="4" s="1"/>
  <c r="F91" i="3"/>
  <c r="F79" i="3"/>
  <c r="F85" i="3" s="1"/>
  <c r="D96" i="4"/>
  <c r="D102" i="4" s="1"/>
  <c r="G78" i="3"/>
  <c r="G84" i="3" s="1"/>
  <c r="G90" i="3"/>
  <c r="G67" i="3"/>
  <c r="D91" i="4"/>
  <c r="D79" i="4"/>
  <c r="D85" i="4" s="1"/>
  <c r="D97" i="4" s="1"/>
  <c r="E30" i="7"/>
  <c r="E40" i="7"/>
  <c r="E51" i="7" s="1"/>
  <c r="B41" i="7"/>
  <c r="B52" i="7" s="1"/>
  <c r="B31" i="7"/>
  <c r="B42" i="7" s="1"/>
  <c r="H67" i="2"/>
  <c r="H90" i="2"/>
  <c r="H78" i="2"/>
  <c r="H84" i="2" s="1"/>
  <c r="H96" i="2" s="1"/>
  <c r="H102" i="2" s="1"/>
  <c r="H67" i="4"/>
  <c r="H78" i="4"/>
  <c r="H84" i="4" s="1"/>
  <c r="H90" i="4"/>
  <c r="G90" i="4"/>
  <c r="G67" i="4"/>
  <c r="G78" i="4"/>
  <c r="G84" i="4" s="1"/>
  <c r="H95" i="3"/>
  <c r="H101" i="3" s="1"/>
  <c r="E91" i="2"/>
  <c r="E79" i="2"/>
  <c r="E85" i="2" s="1"/>
  <c r="E79" i="3"/>
  <c r="E85" i="3" s="1"/>
  <c r="E91" i="3"/>
  <c r="F91" i="2"/>
  <c r="F79" i="2"/>
  <c r="F85" i="2" s="1"/>
  <c r="F97" i="2" s="1"/>
  <c r="I67" i="2"/>
  <c r="I78" i="2"/>
  <c r="I84" i="2" s="1"/>
  <c r="I90" i="2"/>
  <c r="F78" i="4"/>
  <c r="F84" i="4" s="1"/>
  <c r="F67" i="4"/>
  <c r="F90" i="4"/>
  <c r="G95" i="4"/>
  <c r="G101" i="4" s="1"/>
  <c r="C96" i="2"/>
  <c r="C102" i="2" s="1"/>
  <c r="H90" i="3"/>
  <c r="H67" i="3"/>
  <c r="H78" i="3"/>
  <c r="H84" i="3" s="1"/>
  <c r="H96" i="3" s="1"/>
  <c r="H102" i="3" s="1"/>
  <c r="C91" i="2"/>
  <c r="C79" i="2"/>
  <c r="C85" i="2" s="1"/>
  <c r="C97" i="2" s="1"/>
  <c r="C31" i="7"/>
  <c r="C42" i="7" s="1"/>
  <c r="C41" i="7"/>
  <c r="C52" i="7" s="1"/>
  <c r="J90" i="4"/>
  <c r="J78" i="4"/>
  <c r="J84" i="4" s="1"/>
  <c r="J67" i="4"/>
  <c r="J67" i="2"/>
  <c r="J78" i="2"/>
  <c r="J84" i="2" s="1"/>
  <c r="J90" i="2"/>
  <c r="J95" i="4"/>
  <c r="J101" i="4" s="1"/>
  <c r="E96" i="4"/>
  <c r="E102" i="4" s="1"/>
  <c r="E91" i="4"/>
  <c r="E79" i="4"/>
  <c r="E85" i="4" s="1"/>
  <c r="E97" i="4" s="1"/>
  <c r="G91" i="2"/>
  <c r="G79" i="2"/>
  <c r="G85" i="2" s="1"/>
  <c r="G97" i="2" s="1"/>
  <c r="G103" i="2" s="1"/>
  <c r="J79" i="3"/>
  <c r="J85" i="3" s="1"/>
  <c r="J91" i="3"/>
  <c r="F96" i="2"/>
  <c r="F102" i="2" s="1"/>
  <c r="G96" i="2"/>
  <c r="G102" i="2" s="1"/>
  <c r="D30" i="7"/>
  <c r="D40" i="7"/>
  <c r="D51" i="7" s="1"/>
  <c r="C97" i="3"/>
  <c r="J96" i="3"/>
  <c r="J102" i="3" s="1"/>
  <c r="I79" i="3"/>
  <c r="I85" i="3" s="1"/>
  <c r="I91" i="3"/>
  <c r="I96" i="3"/>
  <c r="I102" i="3" s="1"/>
  <c r="D91" i="2"/>
  <c r="D79" i="2"/>
  <c r="D85" i="2" s="1"/>
  <c r="D97" i="2" s="1"/>
  <c r="D96" i="2"/>
  <c r="D102" i="2" s="1"/>
  <c r="D90" i="3"/>
  <c r="D78" i="3"/>
  <c r="D84" i="3" s="1"/>
  <c r="D96" i="3" s="1"/>
  <c r="D102" i="3" s="1"/>
  <c r="D67" i="3"/>
  <c r="I67" i="4"/>
  <c r="I78" i="4"/>
  <c r="I84" i="4" s="1"/>
  <c r="I90" i="4"/>
  <c r="C91" i="4" l="1"/>
  <c r="C79" i="4"/>
  <c r="C85" i="4" s="1"/>
  <c r="C97" i="4" s="1"/>
  <c r="G79" i="3"/>
  <c r="G85" i="3" s="1"/>
  <c r="G91" i="3"/>
  <c r="G96" i="3"/>
  <c r="G102" i="3" s="1"/>
  <c r="J96" i="4"/>
  <c r="J102" i="4" s="1"/>
  <c r="E97" i="2"/>
  <c r="F97" i="3"/>
  <c r="G96" i="4"/>
  <c r="G102" i="4" s="1"/>
  <c r="C55" i="7"/>
  <c r="C56" i="7" s="1"/>
  <c r="C53" i="7"/>
  <c r="C54" i="7" s="1"/>
  <c r="C57" i="7" s="1"/>
  <c r="C58" i="7" s="1"/>
  <c r="C59" i="7" s="1"/>
  <c r="C60" i="7" s="1"/>
  <c r="E103" i="2"/>
  <c r="E105" i="2" s="1"/>
  <c r="E106" i="2"/>
  <c r="E107" i="2" s="1"/>
  <c r="C103" i="3"/>
  <c r="C105" i="3" s="1"/>
  <c r="C106" i="3"/>
  <c r="C107" i="3" s="1"/>
  <c r="C106" i="2"/>
  <c r="C107" i="2" s="1"/>
  <c r="C103" i="2"/>
  <c r="C105" i="2" s="1"/>
  <c r="D31" i="7"/>
  <c r="D42" i="7" s="1"/>
  <c r="D41" i="7"/>
  <c r="D52" i="7" s="1"/>
  <c r="H79" i="3"/>
  <c r="H85" i="3" s="1"/>
  <c r="H91" i="3"/>
  <c r="G91" i="4"/>
  <c r="G79" i="4"/>
  <c r="G85" i="4" s="1"/>
  <c r="J97" i="3"/>
  <c r="J103" i="3" s="1"/>
  <c r="J105" i="3" s="1"/>
  <c r="J109" i="3" s="1"/>
  <c r="I96" i="4"/>
  <c r="I102" i="4" s="1"/>
  <c r="G105" i="2"/>
  <c r="G109" i="2" s="1"/>
  <c r="H96" i="4"/>
  <c r="H102" i="4" s="1"/>
  <c r="I79" i="4"/>
  <c r="I85" i="4" s="1"/>
  <c r="I91" i="4"/>
  <c r="F91" i="4"/>
  <c r="F79" i="4"/>
  <c r="F85" i="4" s="1"/>
  <c r="H91" i="4"/>
  <c r="H79" i="4"/>
  <c r="H85" i="4" s="1"/>
  <c r="H97" i="4" s="1"/>
  <c r="H103" i="4" s="1"/>
  <c r="D91" i="3"/>
  <c r="D79" i="3"/>
  <c r="D85" i="3" s="1"/>
  <c r="D97" i="3" s="1"/>
  <c r="E106" i="4"/>
  <c r="E107" i="4" s="1"/>
  <c r="E103" i="4"/>
  <c r="E105" i="4" s="1"/>
  <c r="E109" i="4" s="1"/>
  <c r="F96" i="4"/>
  <c r="F102" i="4" s="1"/>
  <c r="I96" i="2"/>
  <c r="I102" i="2" s="1"/>
  <c r="H91" i="2"/>
  <c r="H79" i="2"/>
  <c r="H85" i="2" s="1"/>
  <c r="H97" i="2" s="1"/>
  <c r="H103" i="2" s="1"/>
  <c r="H105" i="2" s="1"/>
  <c r="H109" i="2" s="1"/>
  <c r="I91" i="2"/>
  <c r="I79" i="2"/>
  <c r="I85" i="2" s="1"/>
  <c r="I97" i="2" s="1"/>
  <c r="I103" i="2" s="1"/>
  <c r="B55" i="7"/>
  <c r="B56" i="7" s="1"/>
  <c r="B53" i="7"/>
  <c r="B54" i="7" s="1"/>
  <c r="D106" i="2"/>
  <c r="D107" i="2" s="1"/>
  <c r="D103" i="2"/>
  <c r="D105" i="2" s="1"/>
  <c r="D109" i="2" s="1"/>
  <c r="J96" i="2"/>
  <c r="J102" i="2" s="1"/>
  <c r="J91" i="2"/>
  <c r="J79" i="2"/>
  <c r="J85" i="2" s="1"/>
  <c r="J97" i="2" s="1"/>
  <c r="J103" i="2" s="1"/>
  <c r="J105" i="2" s="1"/>
  <c r="J109" i="2" s="1"/>
  <c r="F103" i="2"/>
  <c r="F105" i="2" s="1"/>
  <c r="F106" i="2"/>
  <c r="F107" i="2" s="1"/>
  <c r="E41" i="7"/>
  <c r="E52" i="7" s="1"/>
  <c r="E31" i="7"/>
  <c r="E42" i="7" s="1"/>
  <c r="J91" i="4"/>
  <c r="J79" i="4"/>
  <c r="J85" i="4" s="1"/>
  <c r="J97" i="4" s="1"/>
  <c r="J103" i="4" s="1"/>
  <c r="J105" i="4" s="1"/>
  <c r="J109" i="4" s="1"/>
  <c r="D103" i="4"/>
  <c r="D105" i="4" s="1"/>
  <c r="D106" i="4"/>
  <c r="D107" i="4" s="1"/>
  <c r="I97" i="3"/>
  <c r="I103" i="3" s="1"/>
  <c r="I105" i="3" s="1"/>
  <c r="I109" i="3" s="1"/>
  <c r="E97" i="3"/>
  <c r="C109" i="2" l="1"/>
  <c r="F109" i="2"/>
  <c r="F106" i="3"/>
  <c r="F107" i="3" s="1"/>
  <c r="F103" i="3"/>
  <c r="F105" i="3" s="1"/>
  <c r="F109" i="3" s="1"/>
  <c r="C103" i="4"/>
  <c r="C105" i="4" s="1"/>
  <c r="C106" i="4"/>
  <c r="C107" i="4" s="1"/>
  <c r="G97" i="3"/>
  <c r="G103" i="3" s="1"/>
  <c r="G105" i="3" s="1"/>
  <c r="G109" i="3" s="1"/>
  <c r="B57" i="7"/>
  <c r="B58" i="7" s="1"/>
  <c r="B59" i="7" s="1"/>
  <c r="B60" i="7" s="1"/>
  <c r="G97" i="4"/>
  <c r="G103" i="4" s="1"/>
  <c r="G105" i="4" s="1"/>
  <c r="G109" i="4" s="1"/>
  <c r="I97" i="4"/>
  <c r="I103" i="4" s="1"/>
  <c r="I105" i="4" s="1"/>
  <c r="I109" i="4" s="1"/>
  <c r="H97" i="3"/>
  <c r="H103" i="3" s="1"/>
  <c r="H105" i="3" s="1"/>
  <c r="H109" i="3" s="1"/>
  <c r="D55" i="7"/>
  <c r="D56" i="7" s="1"/>
  <c r="D53" i="7"/>
  <c r="D54" i="7" s="1"/>
  <c r="D57" i="7" s="1"/>
  <c r="D58" i="7" s="1"/>
  <c r="D59" i="7" s="1"/>
  <c r="D60" i="7" s="1"/>
  <c r="E103" i="3"/>
  <c r="E105" i="3" s="1"/>
  <c r="E106" i="3"/>
  <c r="E107" i="3" s="1"/>
  <c r="C109" i="3"/>
  <c r="H105" i="4"/>
  <c r="H109" i="4" s="1"/>
  <c r="I105" i="2"/>
  <c r="I109" i="2" s="1"/>
  <c r="D109" i="4"/>
  <c r="D103" i="3"/>
  <c r="D105" i="3" s="1"/>
  <c r="D106" i="3"/>
  <c r="D107" i="3" s="1"/>
  <c r="E109" i="2"/>
  <c r="K110" i="2" s="1"/>
  <c r="E53" i="7"/>
  <c r="E54" i="7" s="1"/>
  <c r="E55" i="7"/>
  <c r="E56" i="7" s="1"/>
  <c r="F97" i="4"/>
  <c r="C109" i="4" l="1"/>
  <c r="F103" i="4"/>
  <c r="F105" i="4" s="1"/>
  <c r="F106" i="4"/>
  <c r="F107" i="4" s="1"/>
  <c r="E57" i="7"/>
  <c r="E58" i="7" s="1"/>
  <c r="E59" i="7" s="1"/>
  <c r="E60" i="7" s="1"/>
  <c r="D109" i="3"/>
  <c r="E109" i="3"/>
  <c r="K110" i="3" s="1"/>
  <c r="K109" i="2"/>
  <c r="K119" i="2" s="1"/>
  <c r="K122" i="2" s="1"/>
  <c r="B18" i="6" s="1"/>
  <c r="E18" i="6" s="1"/>
  <c r="K109" i="3" l="1"/>
  <c r="K119" i="3" s="1"/>
  <c r="K122" i="3" s="1"/>
  <c r="B17" i="6" s="1"/>
  <c r="F109" i="4"/>
  <c r="K109" i="4" l="1"/>
  <c r="K119" i="4" s="1"/>
  <c r="K122" i="4" s="1"/>
  <c r="B19" i="6" s="1"/>
  <c r="E19" i="6" s="1"/>
  <c r="K110" i="4"/>
  <c r="E17" i="6"/>
  <c r="B21" i="6" l="1"/>
  <c r="E21" i="6"/>
</calcChain>
</file>

<file path=xl/sharedStrings.xml><?xml version="1.0" encoding="utf-8"?>
<sst xmlns="http://schemas.openxmlformats.org/spreadsheetml/2006/main" count="626" uniqueCount="334">
  <si>
    <t>FinSurf — SOTP-DCF Inputs</t>
  </si>
  <si>
    <t>Phase 2 v3 — per-Segment WACC (Damodaran β), shared D/E + tax. Column C = Reasoning.</t>
  </si>
  <si>
    <t>── Company ──</t>
  </si>
  <si>
    <t>Company</t>
  </si>
  <si>
    <t>Siemens Healthineers AG</t>
  </si>
  <si>
    <t>Ticker</t>
  </si>
  <si>
    <t>SHL.DE</t>
  </si>
  <si>
    <t>Currency</t>
  </si>
  <si>
    <t>EUR</t>
  </si>
  <si>
    <t>Report Date (ISO)</t>
  </si>
  <si>
    <t>2025-09-30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</si>
  <si>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</si>
  <si>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</si>
  <si>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</si>
  <si>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</si>
  <si>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</si>
  <si>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</si>
  <si>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</si>
  <si>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</si>
  <si>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</si>
  <si>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approx. September 30, 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</si>
  <si>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</si>
  <si>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</si>
  <si>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</si>
  <si>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</si>
  <si>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</si>
  <si>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</si>
  <si>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</si>
  <si>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</si>
  <si>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</si>
  <si>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</si>
  <si>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US 38%×0% + Europe 27%×0% + China 11%×1.0% + emerging Asia 11%×0.5% + MEA 5%×1.5% + other 8%×0.5% ≈ 0.11% + 0.055% + 0.075% + 0.04% ≈ 0.28% → rounded to 0.2% (20bps). China segment 11% of revenue weighted with 1% CRP given volume-based procurement structural risk but not Frontier-market.</t>
  </si>
  <si>
    <t>Specific Risk Premium</t>
  </si>
  <si>
    <t>Siemens AG holds approximately 75% of Siemens Healthineers AG (controlled_liquid). Minority shareholders carry: (a) lack of control premium in exit, (b) structural dependency on Siemens Group for financing (€14.8bn intercompany debt at Siemens-set terms — multicurrency revolving facilities, loan terms, cash pooling), (c) strategic direction set by majority owner without minority consent. Minimum 0.5% per rule for controlled_liquid. No material additional illiquidity charge warranted (sufficient float for listed minor shareholders). Note: announced or possible Siemens beteiligungsreduktion (block sale risk) is a price not a value factor — reflected in key_risks, not WACC.</t>
  </si>
  <si>
    <t>Cost of Equity Group [calc, ≥ Kd + Nachrang-Spread]</t>
  </si>
  <si>
    <t>Cost of Debt pre-tax (Kd)</t>
  </si>
  <si>
    <t>Per Note 25: interest expenses on financial liabilities not measured at FVTPL = €501m FY2025. Gross financial debt (Note 16 components) = €14,793m. Implied rate = 501/14,793 = 3.39%. USD-denominated Siemens Group loans (US$7.9bn) carry contractual 1.38-3.44% but effectively ~0.5% after hedging (forward elements). EUR loans carry 2.96-3.80%. Conservative set at 3.6% ≥ implied 3.4% to reflect partial refinancing risk on USD loans maturing FY2026. Note: the positive €632m FV of hedge forwards already in net debt definition; Kd based on total gross debt including Siemens Group obligations.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</si>
  <si>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</si>
  <si>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</si>
  <si>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</si>
  <si>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</si>
  <si>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</si>
  <si>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</si>
  <si>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</si>
  <si>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</si>
  <si>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</si>
  <si>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</si>
  <si>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</si>
  <si>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</si>
  <si>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</si>
  <si>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</si>
  <si>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</si>
  <si>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41,444 Mio EUR (SHL.DE)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</si>
  <si>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</si>
  <si>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</si>
  <si>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Imaging</t>
  </si>
  <si>
    <t>Diagnostics</t>
  </si>
  <si>
    <t>Varian</t>
  </si>
  <si>
    <t>Advanced Therapies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</si>
  <si>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</si>
  <si>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</si>
  <si>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</si>
  <si>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</si>
  <si>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</si>
  <si>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</si>
  <si>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</si>
  <si>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</si>
  <si>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</si>
  <si>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</si>
  <si>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</si>
  <si>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</si>
  <si>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</si>
  <si>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</si>
  <si>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</si>
  <si>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</si>
  <si>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</si>
  <si>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</si>
  <si>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</si>
  <si>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</si>
  <si>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FY2025 comparable growth +8.5%, above Management assumption of 'mid-single-digit'; demonstratable 3Y-CAGR approximately 8%. Group equipment book-to-bill 1.14 (FY2025) and 1.11 (FY2024) supports continued demand. Management FY2026 guidance: 'comparable revenue growth in the mid single-digit percentage range.' Modelling 8.5% Y1 (above FY2026 guidance midpoint of ~5%) would be too aggressive given management guided mid-single-digit; I set 8.5% = demonstrated CAGR with tariff uncertainty in Year...</t>
  </si>
  <si>
    <t>FY2025 comparable growth +0.4%; FY2026 management guidance: 'flat comparable revenue development.' China remains structural headwind (low-double-digit Diagnostics decline in China due to centralized procurement); Americas almost flat; Asia Pacific moderate. Modelling 2% CAGR (above flat guidance) as trajectory for Y1-Y5 reflecting portfolio streamlining completion and emerging market growth outside China; conservative given demonstrated CAGR near 0% and ongoing China headwind.</t>
  </si>
  <si>
    <t>FY2025 comparable growth +6.9% (above expected high-single-digit at lower end). FY2026 guidance for former Varian: 'comparable revenue growth in the high single-digit percentage range.' Modelling 7.5% CAGR = close to high-single-digit guidance and demonstrated 3Y CAGR ~7%. Secular demand from rising cancer incidence globally. Americas and Asia Pacific very strong; China recovered strongly after prior-year decline. Stage-2 handles fade from ~7.5% toward terminal.</t>
  </si>
  <si>
    <t>FY2025 comparable growth +4.2%; FY2026 guidance (former AT segment): 'mid single-digit percentage range.' Modelling 5% CAGR consistent with guidance and demonstrated CAGR. Americas strong, Asia Pacific significant; China recovering from prior trough. ICE imaging solutions and endovascular robotics provide growth optionality.</t>
  </si>
  <si>
    <t>Margin-Reasoning (Review-Call-Audit)</t>
  </si>
  <si>
    <t>EBITA-Basis: Imaging-IFRS3-Amortisation für dieses Segment ist klein (~€20m, ca. 0.15pp). reported_ebit_margin ~19.5% geschätzt = adjusted EBIT 20.7% minus kleiner Severance/Restrukturierungsanteil ~1.2pp (Warnung: Segment-IFRS-EBIT nicht separat im Bericht ausgewiesen; nur Adjusted EBIT per Segment verfügbar — in flagged_fields). Y1 20.0% = reported ~19.5% + 0.15pp IFRS3-Addback (EBITA) + guidance 'minor decline' von 20.7% adj → ca. 20.3% adj → EBITA ca. 20.0%. Tariff-Belastung niedrig-dreis...</t>
  </si>
  <si>
    <t>KRITISCH — Recurring Restructuring Bug-Trigger: Diagnostics-Transformation läuft seit FY2023 mit &gt;€200 Mio./Jahr (FY2024: 'other restructuring expenses mainly related to transformation of Diagnostics business' €199m; FY2025: €209m). Diese Kosten sind NICHT einmalig — sie sind wiederkehrender Opex und MÜSSEN in der Marge bleiben. reported_ebit_margin ~1.9% (IFRS geschätzt) = adjusted EBIT 7.7% minus recurring restructuring ~€200m/€4,347m = 4.6pp minus Severance Diagnostics-Anteil ~€50m/€4,347m...</t>
  </si>
  <si>
    <t>EBITA-Basis PFLICHT: Varian wurde 2021 für ~$16.4bn akquiriert; IFRS 3 PPA erzeugt ~€300m Amortisation/Jahr (geschätzt aus Gesamtgruppen-IFRS3-Amort €357m; Haupttreiber Varian). reported_ebit_margin ~9.3% (IFRS geschätzt) = adjusted EBIT 17.2% minus IFRS3 Varian-Amort ~€300m/€4,081m = 7.4pp minus minor Severance/Transaktionskosten ~0.5pp = ~9.3%. Segment-IFRS-EBIT nicht separat im Bericht — in flagged_fields. EBITA Y1 16.5% = reported IFRS ~9.3% + IFRS3 Addback ~7.4% = ~16.7%, angepasst für F...</t>
  </si>
  <si>
    <t>reported_ebit_margin ~13.5% (IFRS geschätzt) = adjusted EBIT 15.3% minus Severance/minor restructuring allocated ~€20m/€2,128m = 0.9pp minus IFRS3 Advanced Therapies (small, legacy acquisitions ~€15m) = 0.7pp → ~13.5% IFRS. Segment-IFRS-EBIT nicht separat im Bericht — in flagged_fields. EBITA Y1 13.8% = IFRS 13.5% + IFRS3 Addback 0.7% = 14.2%; aber FY2026 Guidance 'decline of adjusted EBIT margin by low triple-digit basis points' (~100-200bp) von 15.3% adj → adj ~14.0%; EBITA entsprechend ~14...</t>
  </si>
  <si>
    <t>Multiple-Gate (implied vs Sektor-Ceiling)</t>
  </si>
  <si>
    <t>ok: EV/EBITDA 16.4x &lt;= 1.8x x Median 18.3x (healthcare)</t>
  </si>
  <si>
    <t>ok: EV/EBITDA 9.7x &lt;= 1.1x x Median 18.3x (healthcare)</t>
  </si>
  <si>
    <t>ok: EV/EBITDA 20.8x &lt;= 2.2x x Median 18.3x (healthcare)</t>
  </si>
  <si>
    <t>ok: EV/EBITDA 15.2x &lt;= 1.8x x Median 18.3x (healthcare)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</si>
  <si>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</si>
  <si>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</si>
  <si>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</si>
  <si>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</si>
  <si>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</si>
  <si>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</si>
  <si>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</si>
  <si>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</si>
  <si>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</si>
  <si>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</si>
  <si>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</si>
  <si>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</si>
  <si>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</si>
  <si>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</si>
  <si>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</si>
  <si>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</si>
  <si>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</si>
  <si>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</si>
  <si>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</si>
  <si>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</si>
  <si>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</si>
  <si>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</si>
  <si>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</si>
  <si>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</si>
  <si>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</si>
  <si>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</si>
  <si>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</si>
  <si>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</si>
  <si>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</si>
  <si>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</si>
  <si>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</si>
  <si>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</si>
  <si>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</si>
  <si>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</si>
  <si>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</si>
  <si>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</si>
  <si>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</si>
  <si>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</si>
  <si>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</si>
  <si>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</si>
  <si>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</si>
  <si>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</si>
  <si>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</si>
  <si>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</si>
  <si>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</si>
  <si>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</si>
  <si>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</si>
  <si>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</si>
  <si>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</si>
  <si>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</si>
  <si>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</si>
  <si>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</si>
  <si>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</si>
  <si>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</si>
  <si>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</si>
  <si>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</si>
  <si>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</si>
  <si>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</si>
  <si>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</si>
  <si>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</si>
  <si>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</si>
  <si>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</si>
  <si>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</si>
  <si>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</si>
  <si>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</si>
  <si>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</si>
  <si>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</si>
  <si>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</si>
  <si>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</si>
  <si>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</si>
  <si>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</si>
  <si>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</si>
  <si>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</si>
  <si>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</si>
  <si>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</si>
  <si>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</si>
  <si>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</si>
  <si>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</si>
  <si>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</si>
  <si>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</si>
  <si>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</si>
  <si>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</si>
  <si>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</si>
  <si>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</si>
  <si>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</si>
  <si>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</si>
  <si>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</si>
  <si>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</si>
  <si>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</si>
  <si>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</si>
  <si>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</si>
  <si>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</si>
  <si>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</si>
  <si>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</si>
  <si>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</si>
  <si>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</si>
  <si>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</si>
  <si>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</si>
  <si>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</si>
  <si>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Section 232 Medical Technology Investigation (Trump Administration, September 2025)</t>
  </si>
  <si>
    <t>Trump Administration launched 232 investigation into broad medtech product categories September 2025. If significant tariffs result (e.g. 15-25% on US-imported medical devices manufactured in Germany/EU), estimated annualized EBIT impact ~€200-400m Group-wide (Imaging most exposed at low-three-digit €m; PV of 3-year impact capitalized). Probability 20% given medtech historically exempted from past 232 investigations (steel, aluminum precedent for sectoral exemptions) and AdvaMed industry opposition. Expected value -€350m (impact ~€1.75bn × 20%).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</si>
  <si>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</si>
  <si>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</si>
  <si>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</si>
  <si>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</si>
  <si>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</si>
  <si>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</si>
  <si>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</si>
  <si>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</si>
  <si>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</si>
  <si>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</si>
  <si>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</si>
  <si>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</si>
  <si>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</si>
  <si>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</si>
  <si>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</si>
  <si>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</si>
  <si>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</si>
  <si>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</si>
  <si>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</si>
  <si>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</si>
  <si>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</si>
  <si>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</si>
  <si>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</si>
  <si>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</si>
  <si>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</si>
  <si>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</si>
  <si>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</si>
  <si>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</si>
  <si>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</si>
  <si>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</si>
  <si>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</si>
  <si>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</si>
  <si>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</si>
  <si>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</si>
  <si>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</si>
  <si>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</si>
  <si>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</si>
  <si>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</si>
  <si>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</si>
  <si>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</si>
  <si>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JA — Analyse aktiv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</si>
  <si>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</si>
  <si>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</si>
  <si>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</si>
  <si>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</si>
  <si>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</si>
  <si>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</si>
  <si>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</si>
  <si>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</si>
  <si>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</si>
  <si>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</si>
  <si>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</si>
  <si>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</si>
  <si>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</si>
  <si>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</si>
  <si>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</si>
  <si>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</si>
  <si>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</si>
  <si>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</si>
  <si>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</si>
  <si>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</si>
  <si>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</si>
  <si>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</si>
  <si>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</si>
  <si>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</si>
  <si>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</si>
  <si>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</si>
  <si>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</si>
  <si>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</si>
  <si>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</si>
  <si>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</si>
  <si>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</si>
  <si>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</si>
  <si>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</si>
  <si>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</si>
  <si>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</si>
  <si>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</si>
  <si>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</si>
  <si>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</si>
  <si>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</si>
  <si>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</si>
  <si>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</si>
  <si>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</si>
  <si>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</si>
  <si>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</si>
  <si>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</si>
  <si>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</si>
  <si>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</si>
  <si>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</si>
  <si>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</si>
  <si>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</si>
  <si>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</si>
  <si>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</si>
  <si>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</si>
  <si>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</si>
  <si>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</si>
  <si>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</si>
  <si>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</si>
  <si>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</si>
  <si>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</si>
  <si>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</si>
  <si>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</si>
  <si>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</si>
  <si>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14.2x EV/EBITDA (trailing). Unser Kursziel entspricht rund 21.8x auf dem heutigen EBITDA (gleiche Basis, direkt mit der eigenen Historie vergleichbar). Das Markt-Niveau liegt im mittleren Bereich der eigenen 5J-Spanne (11.5x bis 18.0x). Der Markt diskontiert rund 53% gegenüber unseren Annahmen (er ist pessimistischer als unser Modell). Auf unserer Ergebnisschätzung für das kommende Jahr (t+1) entspricht das Kursziel rund 15.9x, der Markt 10.4x (anderer Nenner, nicht mit der Historie vergleichbar). Die Peer-Gruppe handelt bei 14.2–28.6x (Median 20.1x,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</si>
  <si>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</si>
  <si>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</si>
  <si>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</si>
  <si>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</si>
  <si>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</si>
  <si>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</si>
  <si>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</si>
  <si>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</si>
  <si>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RHHBY</t>
  </si>
  <si>
    <t>DHR</t>
  </si>
  <si>
    <t>ISRG</t>
  </si>
  <si>
    <t>TMDX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</si>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</sst>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1117</v>
      </c>
    </row>
    <row r="12" spans="1:2" x14ac:dyDescent="0.4">
      <c r="A12" s="4" t="s">
        <v>13</v>
      </c>
      <c r="B12" s="5">
        <v>2175</v>
      </c>
    </row>
    <row r="13" spans="1:2" x14ac:dyDescent="0.4">
      <c r="A13" s="4" t="s">
        <v>14</v>
      </c>
      <c r="B13" s="5">
        <v>14160</v>
      </c>
    </row>
    <row r="14" spans="1:2" x14ac:dyDescent="0.4">
      <c r="A14" s="4" t="s">
        <v>15</v>
      </c>
      <c r="B14" s="6">
        <f>B13-B12</f>
        <v>11985</v>
      </c>
    </row>
    <row r="15" spans="1:2" x14ac:dyDescent="0.4">
      <c r="A15" s="4" t="s">
        <v>16</v>
      </c>
      <c r="B15" s="5">
        <v>51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5.6550000000000003E-2</v>
      </c>
      <c r="C19" s="8" t="s">
        <v>22</v>
      </c>
    </row>
    <row r="20" spans="1:3" x14ac:dyDescent="0.4">
      <c r="A20" s="4" t="s">
        <v>23</v>
      </c>
      <c r="B20" s="9">
        <v>0.65900000000000003</v>
      </c>
      <c r="C20" s="8" t="s">
        <v>24</v>
      </c>
    </row>
    <row r="21" spans="1:3" x14ac:dyDescent="0.4">
      <c r="A21" s="4" t="s">
        <v>25</v>
      </c>
      <c r="B21" s="9">
        <v>0.34200000000000003</v>
      </c>
      <c r="C21" s="8" t="s">
        <v>26</v>
      </c>
    </row>
    <row r="22" spans="1:3" x14ac:dyDescent="0.4">
      <c r="A22" s="4" t="s">
        <v>27</v>
      </c>
      <c r="B22" s="7">
        <v>0.24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0.88629247760000007</v>
      </c>
    </row>
    <row r="24" spans="1:3" x14ac:dyDescent="0.4">
      <c r="A24" s="4" t="s">
        <v>30</v>
      </c>
      <c r="B24" s="7">
        <v>2E-3</v>
      </c>
      <c r="C24" s="8" t="s">
        <v>31</v>
      </c>
    </row>
    <row r="25" spans="1:3" x14ac:dyDescent="0.4">
      <c r="A25" s="4" t="s">
        <v>32</v>
      </c>
      <c r="B25" s="7">
        <v>5.0000000000000001E-3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8.211983960828001E-2</v>
      </c>
    </row>
    <row r="27" spans="1:3" x14ac:dyDescent="0.4">
      <c r="A27" s="4" t="s">
        <v>35</v>
      </c>
      <c r="B27" s="7">
        <v>3.5999999999999997E-2</v>
      </c>
      <c r="C27" s="8" t="s">
        <v>36</v>
      </c>
    </row>
    <row r="28" spans="1:3" x14ac:dyDescent="0.4">
      <c r="A28" s="4" t="s">
        <v>37</v>
      </c>
      <c r="B28" s="11">
        <f>B27*(1-B22)</f>
        <v>2.7359999999999999E-2</v>
      </c>
    </row>
    <row r="29" spans="1:3" x14ac:dyDescent="0.4">
      <c r="A29" s="4" t="s">
        <v>38</v>
      </c>
      <c r="B29" s="11">
        <f>1/(1+B21)</f>
        <v>0.7451564828614009</v>
      </c>
    </row>
    <row r="30" spans="1:3" x14ac:dyDescent="0.4">
      <c r="A30" s="4" t="s">
        <v>39</v>
      </c>
      <c r="B30" s="11">
        <f>B21/(1+B21)</f>
        <v>0.2548435171385991</v>
      </c>
    </row>
    <row r="31" spans="1:3" x14ac:dyDescent="0.4">
      <c r="A31" s="4" t="s">
        <v>40</v>
      </c>
      <c r="B31" s="12">
        <f>MAX(B26*B29+B28*B30,B35)</f>
        <v>6.8164649484560358E-2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0.01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0.26179999999999998</v>
      </c>
      <c r="C36" s="8" t="s">
        <v>47</v>
      </c>
    </row>
    <row r="37" spans="1:3" x14ac:dyDescent="0.4">
      <c r="A37" s="4" t="s">
        <v>48</v>
      </c>
      <c r="B37" s="11">
        <f>B18+0.008+0.02*B36</f>
        <v>3.8235999999999999E-2</v>
      </c>
      <c r="C37" s="8" t="s">
        <v>49</v>
      </c>
    </row>
    <row r="38" spans="1:3" x14ac:dyDescent="0.4">
      <c r="A38" s="4" t="s">
        <v>50</v>
      </c>
      <c r="B38" s="11">
        <f>B37*(1-B22)</f>
        <v>2.9059359999999999E-2</v>
      </c>
    </row>
    <row r="39" spans="1:3" x14ac:dyDescent="0.4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65</v>
      </c>
      <c r="C5" s="5">
        <v>13182</v>
      </c>
      <c r="D5" s="5">
        <v>4347</v>
      </c>
      <c r="E5" s="5">
        <v>4081</v>
      </c>
      <c r="F5" s="5">
        <v>2128</v>
      </c>
      <c r="G5" s="5"/>
      <c r="H5" s="5"/>
      <c r="I5" s="5"/>
      <c r="J5" s="5"/>
    </row>
    <row r="6" spans="1:11" x14ac:dyDescent="0.4">
      <c r="A6" s="4" t="s">
        <v>66</v>
      </c>
      <c r="C6" s="7">
        <v>5.5E-2</v>
      </c>
      <c r="D6" s="7">
        <v>0.02</v>
      </c>
      <c r="E6" s="7">
        <v>8.5000000000000006E-2</v>
      </c>
      <c r="F6" s="7">
        <v>0.05</v>
      </c>
      <c r="G6" s="7"/>
      <c r="H6" s="7"/>
      <c r="I6" s="7"/>
      <c r="J6" s="7"/>
    </row>
    <row r="7" spans="1:11" x14ac:dyDescent="0.4">
      <c r="A7" s="4" t="s">
        <v>67</v>
      </c>
      <c r="C7" s="7">
        <v>0.2</v>
      </c>
      <c r="D7" s="7">
        <v>0.03</v>
      </c>
      <c r="E7" s="7">
        <v>0.16500000000000001</v>
      </c>
      <c r="F7" s="7">
        <v>0.13800000000000001</v>
      </c>
      <c r="G7" s="7"/>
      <c r="H7" s="7"/>
      <c r="I7" s="7"/>
      <c r="J7" s="7"/>
    </row>
    <row r="8" spans="1:11" x14ac:dyDescent="0.4">
      <c r="A8" s="4" t="s">
        <v>68</v>
      </c>
      <c r="C8" s="15">
        <v>0.19500000000000001</v>
      </c>
      <c r="D8" s="15">
        <v>1.9E-2</v>
      </c>
      <c r="E8" s="15">
        <v>9.2999999999999999E-2</v>
      </c>
      <c r="F8" s="15">
        <v>0.13500000000000001</v>
      </c>
      <c r="G8" s="15"/>
      <c r="H8" s="15"/>
      <c r="I8" s="15"/>
      <c r="J8" s="15"/>
    </row>
    <row r="9" spans="1:11" x14ac:dyDescent="0.4">
      <c r="A9" s="4" t="s">
        <v>69</v>
      </c>
      <c r="C9" s="7">
        <v>0.21</v>
      </c>
      <c r="D9" s="7">
        <v>0.09</v>
      </c>
      <c r="E9" s="7">
        <v>0.185</v>
      </c>
      <c r="F9" s="7">
        <v>0.14799999999999999</v>
      </c>
      <c r="G9" s="7"/>
      <c r="H9" s="7"/>
      <c r="I9" s="7"/>
      <c r="J9" s="7"/>
    </row>
    <row r="10" spans="1:11" x14ac:dyDescent="0.4">
      <c r="A10" s="4" t="s">
        <v>70</v>
      </c>
      <c r="C10" s="7">
        <v>0.03</v>
      </c>
      <c r="D10" s="7">
        <v>4.4999999999999998E-2</v>
      </c>
      <c r="E10" s="7">
        <v>0.02</v>
      </c>
      <c r="F10" s="7">
        <v>0.02</v>
      </c>
      <c r="G10" s="7"/>
      <c r="H10" s="7"/>
      <c r="I10" s="7"/>
      <c r="J10" s="7"/>
    </row>
    <row r="11" spans="1:11" x14ac:dyDescent="0.4">
      <c r="A11" s="4" t="s">
        <v>71</v>
      </c>
      <c r="C11" s="7">
        <v>0.05</v>
      </c>
      <c r="D11" s="7">
        <v>7.0000000000000007E-2</v>
      </c>
      <c r="E11" s="7">
        <v>0.04</v>
      </c>
      <c r="F11" s="7">
        <v>0.03</v>
      </c>
      <c r="G11" s="7"/>
      <c r="H11" s="7"/>
      <c r="I11" s="7"/>
      <c r="J11" s="7"/>
    </row>
    <row r="12" spans="1:11" x14ac:dyDescent="0.4">
      <c r="A12" s="4" t="s">
        <v>72</v>
      </c>
      <c r="C12" s="7">
        <v>5.0000000000000001E-3</v>
      </c>
      <c r="D12" s="7">
        <v>1.4999999999999999E-2</v>
      </c>
      <c r="E12" s="7">
        <v>5.0000000000000001E-3</v>
      </c>
      <c r="F12" s="7">
        <v>5.0000000000000001E-3</v>
      </c>
      <c r="G12" s="7"/>
      <c r="H12" s="7"/>
      <c r="I12" s="7"/>
      <c r="J12" s="7"/>
    </row>
    <row r="13" spans="1:11" x14ac:dyDescent="0.4">
      <c r="A13" s="4" t="s">
        <v>73</v>
      </c>
      <c r="C13" s="7">
        <v>0.03</v>
      </c>
      <c r="D13" s="7">
        <v>0.02</v>
      </c>
      <c r="E13" s="7">
        <v>0.03</v>
      </c>
      <c r="F13" s="7">
        <v>2.5000000000000001E-2</v>
      </c>
      <c r="G13" s="7"/>
      <c r="H13" s="7"/>
      <c r="I13" s="7"/>
      <c r="J13" s="7"/>
    </row>
    <row r="14" spans="1:11" x14ac:dyDescent="0.4">
      <c r="A14" s="4" t="s">
        <v>74</v>
      </c>
      <c r="C14" s="9">
        <v>0.65900000000000003</v>
      </c>
      <c r="D14" s="9">
        <v>0.65900000000000003</v>
      </c>
      <c r="E14" s="9">
        <v>0.65900000000000003</v>
      </c>
      <c r="F14" s="9">
        <v>0.65900000000000003</v>
      </c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6.8164649484560358E-2</v>
      </c>
      <c r="D16" s="11">
        <f>MAX((MAX(Inputs!B18+((1-0.33)*D14*(1+(1-Inputs!B22)*Inputs!B21)+0.33)*Inputs!B19+IF(ISBLANK(D17),Inputs!B24,D17)+Inputs!B25+Inputs!B39,MIN(Inputs!B27,0.08)+0.025))*Inputs!B29+Inputs!B28*Inputs!B30,D15)</f>
        <v>6.8164649484560358E-2</v>
      </c>
      <c r="E16" s="11">
        <f>MAX((MAX(Inputs!B18+((1-0.33)*E14*(1+(1-Inputs!B22)*Inputs!B21)+0.33)*Inputs!B19+IF(ISBLANK(E17),Inputs!B24,E17)+Inputs!B25+Inputs!B39,MIN(Inputs!B27,0.08)+0.025))*Inputs!B29+Inputs!B28*Inputs!B30,E15)</f>
        <v>6.8164649484560358E-2</v>
      </c>
      <c r="F16" s="11">
        <f>MAX((MAX(Inputs!B18+((1-0.33)*F14*(1+(1-Inputs!B22)*Inputs!B21)+0.33)*Inputs!B19+IF(ISBLANK(F17),Inputs!B24,F17)+Inputs!B25+Inputs!B39,MIN(Inputs!B27,0.08)+0.025))*Inputs!B29+Inputs!B28*Inputs!B30,F15)</f>
        <v>6.8164649484560358E-2</v>
      </c>
      <c r="G16" s="11">
        <f>MAX((MAX(Inputs!B18+((1-0.33)*G14*(1+(1-Inputs!B22)*Inputs!B21)+0.33)*Inputs!B19+IF(ISBLANK(G17),Inputs!B24,G17)+Inputs!B25+Inputs!B39,MIN(Inputs!B27,0.08)+0.025))*Inputs!B29+Inputs!B28*Inputs!B30,G15)</f>
        <v>5.2427064083457528E-2</v>
      </c>
      <c r="H16" s="11">
        <f>MAX((MAX(Inputs!B18+((1-0.33)*H14*(1+(1-Inputs!B22)*Inputs!B21)+0.33)*Inputs!B19+IF(ISBLANK(H17),Inputs!B24,H17)+Inputs!B25+Inputs!B39,MIN(Inputs!B27,0.08)+0.025))*Inputs!B29+Inputs!B28*Inputs!B30,H15)</f>
        <v>5.2427064083457528E-2</v>
      </c>
      <c r="I16" s="11">
        <f>MAX((MAX(Inputs!B18+((1-0.33)*I14*(1+(1-Inputs!B22)*Inputs!B21)+0.33)*Inputs!B19+IF(ISBLANK(I17),Inputs!B24,I17)+Inputs!B25+Inputs!B39,MIN(Inputs!B27,0.08)+0.025))*Inputs!B29+Inputs!B28*Inputs!B30,I15)</f>
        <v>5.2427064083457528E-2</v>
      </c>
      <c r="J16" s="11">
        <f>MAX((MAX(Inputs!B18+((1-0.33)*J14*(1+(1-Inputs!B22)*Inputs!B21)+0.33)*Inputs!B19+IF(ISBLANK(J17),Inputs!B24,J17)+Inputs!B25+Inputs!B39,MIN(Inputs!B27,0.08)+0.025))*Inputs!B29+Inputs!B28*Inputs!B30,J15)</f>
        <v>5.2427064083457528E-2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/>
      <c r="H18" s="18"/>
      <c r="I18" s="18"/>
      <c r="J18" s="18"/>
    </row>
    <row r="19" spans="1:10" ht="40" customHeight="1" x14ac:dyDescent="0.4">
      <c r="A19" s="17" t="s">
        <v>83</v>
      </c>
      <c r="C19" s="18" t="s">
        <v>84</v>
      </c>
      <c r="D19" s="18" t="s">
        <v>85</v>
      </c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 t="s">
        <v>90</v>
      </c>
      <c r="E20" s="18" t="s">
        <v>91</v>
      </c>
      <c r="F20" s="18" t="s">
        <v>92</v>
      </c>
      <c r="G20" s="18"/>
      <c r="H20" s="18"/>
      <c r="I20" s="18"/>
      <c r="J20" s="18"/>
    </row>
    <row r="21" spans="1:10" x14ac:dyDescent="0.4">
      <c r="A21" s="4" t="s">
        <v>93</v>
      </c>
      <c r="C21" s="6">
        <f t="shared" ref="C21:J21" si="0">C5*(1+C6)^1</f>
        <v>13907.009999999998</v>
      </c>
      <c r="D21" s="6">
        <f t="shared" si="0"/>
        <v>4433.9400000000005</v>
      </c>
      <c r="E21" s="6">
        <f t="shared" si="0"/>
        <v>4427.8850000000002</v>
      </c>
      <c r="F21" s="6">
        <f t="shared" si="0"/>
        <v>2234.4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94</v>
      </c>
      <c r="C22" s="6">
        <f t="shared" ref="C22:J22" si="1">C5*(1+C6)^2</f>
        <v>14671.895549999999</v>
      </c>
      <c r="D22" s="6">
        <f t="shared" si="1"/>
        <v>4522.6188000000002</v>
      </c>
      <c r="E22" s="6">
        <f t="shared" si="1"/>
        <v>4804.2552249999999</v>
      </c>
      <c r="F22" s="6">
        <f t="shared" si="1"/>
        <v>2346.12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95</v>
      </c>
      <c r="C23" s="6">
        <f t="shared" ref="C23:J23" si="2">C5*(1+C6)^3</f>
        <v>15478.849805249998</v>
      </c>
      <c r="D23" s="6">
        <f t="shared" si="2"/>
        <v>4613.0711759999995</v>
      </c>
      <c r="E23" s="6">
        <f t="shared" si="2"/>
        <v>5212.6169191250001</v>
      </c>
      <c r="F23" s="6">
        <f t="shared" si="2"/>
        <v>2463.4260000000004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96</v>
      </c>
      <c r="C24" s="6">
        <f t="shared" ref="C24:J24" si="3">C5*(1+C6)^4</f>
        <v>16330.186544538747</v>
      </c>
      <c r="D24" s="6">
        <f t="shared" si="3"/>
        <v>4705.3325995200003</v>
      </c>
      <c r="E24" s="6">
        <f t="shared" si="3"/>
        <v>5655.6893572506242</v>
      </c>
      <c r="F24" s="6">
        <f t="shared" si="3"/>
        <v>2586.5972999999999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97</v>
      </c>
      <c r="C25" s="6">
        <f t="shared" ref="C25:J25" si="4">C5*(1+C6)^5</f>
        <v>17228.346804488378</v>
      </c>
      <c r="D25" s="6">
        <f t="shared" si="4"/>
        <v>4799.4392515104</v>
      </c>
      <c r="E25" s="6">
        <f t="shared" si="4"/>
        <v>6136.4229526169274</v>
      </c>
      <c r="F25" s="6">
        <f t="shared" si="4"/>
        <v>2715.9271650000001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98</v>
      </c>
      <c r="C26" s="7"/>
      <c r="D26" s="7">
        <v>0.01</v>
      </c>
      <c r="E26" s="7"/>
      <c r="F26" s="7"/>
      <c r="G26" s="7"/>
      <c r="H26" s="7"/>
      <c r="I26" s="7"/>
      <c r="J26" s="7"/>
    </row>
    <row r="27" spans="1:10" x14ac:dyDescent="0.4">
      <c r="A27" s="4" t="s">
        <v>99</v>
      </c>
      <c r="C27" s="11">
        <f t="shared" ref="C27:J27" si="5">IF(ISBLANK(C9),C7,C7+(C9-C7)*(0)/4)</f>
        <v>0.2</v>
      </c>
      <c r="D27" s="11">
        <f t="shared" si="5"/>
        <v>0.03</v>
      </c>
      <c r="E27" s="11">
        <f t="shared" si="5"/>
        <v>0.16500000000000001</v>
      </c>
      <c r="F27" s="11">
        <f t="shared" si="5"/>
        <v>0.13800000000000001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100</v>
      </c>
      <c r="C28" s="11">
        <f t="shared" ref="C28:J28" si="6">IF(ISBLANK(C9),C7,C7+(C9-C7)*(1)/4)</f>
        <v>0.20250000000000001</v>
      </c>
      <c r="D28" s="11">
        <f t="shared" si="6"/>
        <v>4.4999999999999998E-2</v>
      </c>
      <c r="E28" s="11">
        <f t="shared" si="6"/>
        <v>0.17</v>
      </c>
      <c r="F28" s="11">
        <f t="shared" si="6"/>
        <v>0.14050000000000001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101</v>
      </c>
      <c r="C29" s="11">
        <f t="shared" ref="C29:J29" si="7">IF(ISBLANK(C9),C7,C7+(C9-C7)*(2)/4)</f>
        <v>0.20500000000000002</v>
      </c>
      <c r="D29" s="11">
        <f t="shared" si="7"/>
        <v>0.06</v>
      </c>
      <c r="E29" s="11">
        <f t="shared" si="7"/>
        <v>0.17499999999999999</v>
      </c>
      <c r="F29" s="11">
        <f t="shared" si="7"/>
        <v>0.14300000000000002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102</v>
      </c>
      <c r="C30" s="11">
        <f t="shared" ref="C30:J30" si="8">IF(ISBLANK(C9),C7,C7+(C9-C7)*(3)/4)</f>
        <v>0.20749999999999999</v>
      </c>
      <c r="D30" s="11">
        <f t="shared" si="8"/>
        <v>7.4999999999999997E-2</v>
      </c>
      <c r="E30" s="11">
        <f t="shared" si="8"/>
        <v>0.18</v>
      </c>
      <c r="F30" s="11">
        <f t="shared" si="8"/>
        <v>0.14549999999999999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103</v>
      </c>
      <c r="C31" s="11">
        <f t="shared" ref="C31:J31" si="9">IF(ISBLANK(C9),C7,C7+(C9-C7)*(4)/4)</f>
        <v>0.21</v>
      </c>
      <c r="D31" s="11">
        <f t="shared" si="9"/>
        <v>0.09</v>
      </c>
      <c r="E31" s="11">
        <f t="shared" si="9"/>
        <v>0.185</v>
      </c>
      <c r="F31" s="11">
        <f t="shared" si="9"/>
        <v>0.14799999999999999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104</v>
      </c>
      <c r="C33" s="6">
        <f t="shared" ref="C33:J37" si="10">C21*C27</f>
        <v>2781.402</v>
      </c>
      <c r="D33" s="6">
        <f t="shared" si="10"/>
        <v>133.01820000000001</v>
      </c>
      <c r="E33" s="6">
        <f t="shared" si="10"/>
        <v>730.60102500000005</v>
      </c>
      <c r="F33" s="6">
        <f t="shared" si="10"/>
        <v>308.34720000000004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105</v>
      </c>
      <c r="C34" s="6">
        <f t="shared" si="10"/>
        <v>2971.058848875</v>
      </c>
      <c r="D34" s="6">
        <f t="shared" si="10"/>
        <v>203.51784599999999</v>
      </c>
      <c r="E34" s="6">
        <f t="shared" si="10"/>
        <v>816.72338825000008</v>
      </c>
      <c r="F34" s="6">
        <f t="shared" si="10"/>
        <v>329.62986000000001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106</v>
      </c>
      <c r="C35" s="6">
        <f t="shared" si="10"/>
        <v>3173.1642100762497</v>
      </c>
      <c r="D35" s="6">
        <f t="shared" si="10"/>
        <v>276.78427055999998</v>
      </c>
      <c r="E35" s="6">
        <f t="shared" si="10"/>
        <v>912.20796084687493</v>
      </c>
      <c r="F35" s="6">
        <f t="shared" si="10"/>
        <v>352.26991800000008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107</v>
      </c>
      <c r="C36" s="6">
        <f t="shared" si="10"/>
        <v>3388.5137079917899</v>
      </c>
      <c r="D36" s="6">
        <f t="shared" si="10"/>
        <v>352.89994496399999</v>
      </c>
      <c r="E36" s="6">
        <f t="shared" si="10"/>
        <v>1018.0240843051123</v>
      </c>
      <c r="F36" s="6">
        <f t="shared" si="10"/>
        <v>376.34990714999998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108</v>
      </c>
      <c r="C37" s="6">
        <f t="shared" si="10"/>
        <v>3617.9528289425593</v>
      </c>
      <c r="D37" s="6">
        <f t="shared" si="10"/>
        <v>431.94953263593601</v>
      </c>
      <c r="E37" s="6">
        <f t="shared" si="10"/>
        <v>1135.2382462341316</v>
      </c>
      <c r="F37" s="6">
        <f t="shared" si="10"/>
        <v>401.95722042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109</v>
      </c>
      <c r="C39" s="6">
        <f>C33*(1-Inputs!B22)</f>
        <v>2113.8655199999998</v>
      </c>
      <c r="D39" s="6">
        <f>D33*(1-Inputs!B22)</f>
        <v>101.09383200000001</v>
      </c>
      <c r="E39" s="6">
        <f>E33*(1-Inputs!B22)</f>
        <v>555.25677900000005</v>
      </c>
      <c r="F39" s="6">
        <f>F33*(1-Inputs!B22)</f>
        <v>234.34387200000003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110</v>
      </c>
      <c r="C40" s="6">
        <f>C34*(1-Inputs!B22)</f>
        <v>2258.0047251450001</v>
      </c>
      <c r="D40" s="6">
        <f>D34*(1-Inputs!B22)</f>
        <v>154.67356296</v>
      </c>
      <c r="E40" s="6">
        <f>E34*(1-Inputs!B22)</f>
        <v>620.70977507000009</v>
      </c>
      <c r="F40" s="6">
        <f>F34*(1-Inputs!B22)</f>
        <v>250.51869360000001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111</v>
      </c>
      <c r="C41" s="6">
        <f>C35*(1-Inputs!B22)</f>
        <v>2411.6047996579496</v>
      </c>
      <c r="D41" s="6">
        <f>D35*(1-Inputs!B22)</f>
        <v>210.35604562559999</v>
      </c>
      <c r="E41" s="6">
        <f>E35*(1-Inputs!B22)</f>
        <v>693.27805024362499</v>
      </c>
      <c r="F41" s="6">
        <f>F35*(1-Inputs!B22)</f>
        <v>267.72513768000005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112</v>
      </c>
      <c r="C42" s="6">
        <f>C36*(1-Inputs!B22)</f>
        <v>2575.2704180737605</v>
      </c>
      <c r="D42" s="6">
        <f>D36*(1-Inputs!B22)</f>
        <v>268.20395817264</v>
      </c>
      <c r="E42" s="6">
        <f>E36*(1-Inputs!B22)</f>
        <v>773.69830407188533</v>
      </c>
      <c r="F42" s="6">
        <f>F36*(1-Inputs!B22)</f>
        <v>286.02592943399998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113</v>
      </c>
      <c r="C43" s="6">
        <f>C37*(1-Inputs!B22)</f>
        <v>2749.6441499963453</v>
      </c>
      <c r="D43" s="6">
        <f>D37*(1-Inputs!B22)</f>
        <v>328.28164480331139</v>
      </c>
      <c r="E43" s="6">
        <f>E37*(1-Inputs!B22)</f>
        <v>862.78106713794</v>
      </c>
      <c r="F43" s="6">
        <f>F37*(1-Inputs!B22)</f>
        <v>305.48748751919999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114</v>
      </c>
      <c r="C45" s="6">
        <f t="shared" ref="C45:J45" si="11">C21*IF(ISBLANK(C26),C12,C12+(C26-C12)*(0)/4)</f>
        <v>69.535049999999998</v>
      </c>
      <c r="D45" s="6">
        <f t="shared" si="11"/>
        <v>66.509100000000004</v>
      </c>
      <c r="E45" s="6">
        <f t="shared" si="11"/>
        <v>22.139425000000003</v>
      </c>
      <c r="F45" s="6">
        <f t="shared" si="11"/>
        <v>11.172000000000001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115</v>
      </c>
      <c r="C46" s="6">
        <f t="shared" ref="C46:J46" si="12">C22*IF(ISBLANK(C26),C12,C12+(C26-C12)*(1)/4)</f>
        <v>73.359477749999996</v>
      </c>
      <c r="D46" s="6">
        <f t="shared" si="12"/>
        <v>62.1860085</v>
      </c>
      <c r="E46" s="6">
        <f t="shared" si="12"/>
        <v>24.021276125</v>
      </c>
      <c r="F46" s="6">
        <f t="shared" si="12"/>
        <v>11.730599999999999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116</v>
      </c>
      <c r="C47" s="6">
        <f t="shared" ref="C47:J47" si="13">C23*IF(ISBLANK(C26),C12,C12+(C26-C12)*(2)/4)</f>
        <v>77.394249026249994</v>
      </c>
      <c r="D47" s="6">
        <f t="shared" si="13"/>
        <v>57.663389699999996</v>
      </c>
      <c r="E47" s="6">
        <f t="shared" si="13"/>
        <v>26.063084595625</v>
      </c>
      <c r="F47" s="6">
        <f t="shared" si="13"/>
        <v>12.317130000000002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117</v>
      </c>
      <c r="C48" s="6">
        <f t="shared" ref="C48:J48" si="14">C24*IF(ISBLANK(C26),C12,C12+(C26-C12)*(3)/4)</f>
        <v>81.650932722693739</v>
      </c>
      <c r="D48" s="6">
        <f t="shared" si="14"/>
        <v>52.934991744599998</v>
      </c>
      <c r="E48" s="6">
        <f t="shared" si="14"/>
        <v>28.27844678625312</v>
      </c>
      <c r="F48" s="6">
        <f t="shared" si="14"/>
        <v>12.9329865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118</v>
      </c>
      <c r="C49" s="6">
        <f t="shared" ref="C49:J49" si="15">C25*IF(ISBLANK(C26),C12,C12+(C26-C12)*(4)/4)</f>
        <v>86.141734022441895</v>
      </c>
      <c r="D49" s="6">
        <f t="shared" si="15"/>
        <v>47.994392515104003</v>
      </c>
      <c r="E49" s="6">
        <f t="shared" si="15"/>
        <v>30.682114763084638</v>
      </c>
      <c r="F49" s="6">
        <f t="shared" si="15"/>
        <v>13.579635825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119</v>
      </c>
      <c r="C51" s="6">
        <f t="shared" ref="C51:J55" si="16">C39-C45</f>
        <v>2044.3304699999999</v>
      </c>
      <c r="D51" s="6">
        <f t="shared" si="16"/>
        <v>34.584732000000002</v>
      </c>
      <c r="E51" s="6">
        <f t="shared" si="16"/>
        <v>533.11735400000009</v>
      </c>
      <c r="F51" s="6">
        <f t="shared" si="16"/>
        <v>223.17187200000004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120</v>
      </c>
      <c r="C52" s="6">
        <f t="shared" si="16"/>
        <v>2184.6452473950003</v>
      </c>
      <c r="D52" s="6">
        <f t="shared" si="16"/>
        <v>92.487554459999998</v>
      </c>
      <c r="E52" s="6">
        <f t="shared" si="16"/>
        <v>596.68849894500011</v>
      </c>
      <c r="F52" s="6">
        <f t="shared" si="16"/>
        <v>238.7880936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121</v>
      </c>
      <c r="C53" s="6">
        <f t="shared" si="16"/>
        <v>2334.2105506316998</v>
      </c>
      <c r="D53" s="6">
        <f t="shared" si="16"/>
        <v>152.69265592559998</v>
      </c>
      <c r="E53" s="6">
        <f t="shared" si="16"/>
        <v>667.21496564799997</v>
      </c>
      <c r="F53" s="6">
        <f t="shared" si="16"/>
        <v>255.40800768000005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122</v>
      </c>
      <c r="C54" s="6">
        <f t="shared" si="16"/>
        <v>2493.6194853510669</v>
      </c>
      <c r="D54" s="6">
        <f t="shared" si="16"/>
        <v>215.26896642804002</v>
      </c>
      <c r="E54" s="6">
        <f t="shared" si="16"/>
        <v>745.41985728563225</v>
      </c>
      <c r="F54" s="6">
        <f t="shared" si="16"/>
        <v>273.09294293399995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123</v>
      </c>
      <c r="C55" s="6">
        <f t="shared" si="16"/>
        <v>2663.5024159739032</v>
      </c>
      <c r="D55" s="6">
        <f t="shared" si="16"/>
        <v>280.28725228820741</v>
      </c>
      <c r="E55" s="6">
        <f t="shared" si="16"/>
        <v>832.09895237485534</v>
      </c>
      <c r="F55" s="6">
        <f t="shared" si="16"/>
        <v>291.90785169419996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124</v>
      </c>
      <c r="C57" s="6">
        <f t="shared" ref="C57:J57" si="17">C51/((1+C16))</f>
        <v>1913.8720523905051</v>
      </c>
      <c r="D57" s="6">
        <f t="shared" si="17"/>
        <v>32.377716316195979</v>
      </c>
      <c r="E57" s="6">
        <f t="shared" si="17"/>
        <v>499.09660861483695</v>
      </c>
      <c r="F57" s="6">
        <f t="shared" si="17"/>
        <v>208.93021699200679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125</v>
      </c>
      <c r="C58" s="6">
        <f t="shared" ref="C58:J58" si="18">C52/((1+C16)*(1+C16+(C104-C16)*1/5))</f>
        <v>1911.9956779588322</v>
      </c>
      <c r="D58" s="6">
        <f t="shared" si="18"/>
        <v>80.94486031696151</v>
      </c>
      <c r="E58" s="6">
        <f t="shared" si="18"/>
        <v>522.22017850768532</v>
      </c>
      <c r="F58" s="6">
        <f t="shared" si="18"/>
        <v>208.98670090974238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126</v>
      </c>
      <c r="C59" s="6">
        <f t="shared" ref="C59:J59" si="19">C53/((1+C16)*(1+C16+(C104-C16)*1/5)*(1+C16+(C104-C16)*2/5))</f>
        <v>1907.0999452340684</v>
      </c>
      <c r="D59" s="6">
        <f t="shared" si="19"/>
        <v>124.75316576499476</v>
      </c>
      <c r="E59" s="6">
        <f t="shared" si="19"/>
        <v>545.12889769189576</v>
      </c>
      <c r="F59" s="6">
        <f t="shared" si="19"/>
        <v>208.67380508028782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127</v>
      </c>
      <c r="C60" s="6">
        <f t="shared" ref="C60:J60" si="20">C54/((1+C16)*(1+C16+(C104-C16)*1/5)*(1+C16+(C104-C16)*2/5)*(1+C16+(C104-C16)*3/5))</f>
        <v>1899.2196217682861</v>
      </c>
      <c r="D60" s="6">
        <f t="shared" si="20"/>
        <v>163.95566661220272</v>
      </c>
      <c r="E60" s="6">
        <f t="shared" si="20"/>
        <v>567.73538534219267</v>
      </c>
      <c r="F60" s="6">
        <f t="shared" si="20"/>
        <v>207.99623953599277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128</v>
      </c>
      <c r="C61" s="6">
        <f t="shared" ref="C61:J61" si="21">C55/((1+C16)*(1+C16+(C104-C16)*1/5)*(1+C16+(C104-C16)*2/5)*(1+C16+(C104-C16)*3/5)*(1+C16+(C104-C16)*4/5))</f>
        <v>1888.4030282119745</v>
      </c>
      <c r="D61" s="6">
        <f t="shared" si="21"/>
        <v>198.72153778269768</v>
      </c>
      <c r="E61" s="6">
        <f t="shared" si="21"/>
        <v>589.95185137165811</v>
      </c>
      <c r="F61" s="6">
        <f t="shared" si="21"/>
        <v>206.96045469762402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129</v>
      </c>
    </row>
    <row r="63" spans="1:10" x14ac:dyDescent="0.4">
      <c r="A63" s="4" t="s">
        <v>130</v>
      </c>
      <c r="C63" s="6">
        <f t="shared" ref="C63:J63" si="22">C25*(1+(C6+(C13-C6)*1/5))</f>
        <v>18089.764144712797</v>
      </c>
      <c r="D63" s="6">
        <f t="shared" si="22"/>
        <v>4895.4280365406084</v>
      </c>
      <c r="E63" s="6">
        <f t="shared" si="22"/>
        <v>6590.5182511105804</v>
      </c>
      <c r="F63" s="6">
        <f t="shared" si="22"/>
        <v>2838.1438874249998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131</v>
      </c>
      <c r="C64" s="6">
        <f t="shared" ref="C64:J64" si="23">C63*(1+(C6+(C13-C6)*2/5))</f>
        <v>18903.803531224872</v>
      </c>
      <c r="D64" s="6">
        <f t="shared" si="23"/>
        <v>4993.3365972714209</v>
      </c>
      <c r="E64" s="6">
        <f t="shared" si="23"/>
        <v>7005.720900930547</v>
      </c>
      <c r="F64" s="6">
        <f t="shared" si="23"/>
        <v>2951.6696429220001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132</v>
      </c>
      <c r="C65" s="6">
        <f t="shared" ref="C65:J65" si="24">C64*(1+(C6+(C13-C6)*3/5))</f>
        <v>19659.955672473869</v>
      </c>
      <c r="D65" s="6">
        <f t="shared" si="24"/>
        <v>5093.2033292168499</v>
      </c>
      <c r="E65" s="6">
        <f t="shared" si="24"/>
        <v>7370.0183877789359</v>
      </c>
      <c r="F65" s="6">
        <f t="shared" si="24"/>
        <v>3054.97808042427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133</v>
      </c>
      <c r="C66" s="6">
        <f t="shared" ref="C66:J66" si="25">C65*(1+(C6+(C13-C6)*4/5))</f>
        <v>20348.054121010453</v>
      </c>
      <c r="D66" s="6">
        <f t="shared" si="25"/>
        <v>5195.0673958011866</v>
      </c>
      <c r="E66" s="6">
        <f t="shared" si="25"/>
        <v>7672.1891416778717</v>
      </c>
      <c r="F66" s="6">
        <f t="shared" si="25"/>
        <v>3146.6274228369984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134</v>
      </c>
      <c r="C67" s="6">
        <f t="shared" ref="C67:J67" si="26">C66*(1+(C6+(C13-C6)*5/5))</f>
        <v>20958.495744640768</v>
      </c>
      <c r="D67" s="6">
        <f t="shared" si="26"/>
        <v>5298.9687437172106</v>
      </c>
      <c r="E67" s="6">
        <f t="shared" si="26"/>
        <v>7902.3548159282082</v>
      </c>
      <c r="F67" s="6">
        <f t="shared" si="26"/>
        <v>3225.2931084079232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135</v>
      </c>
      <c r="C69" s="11">
        <f t="shared" ref="C69:J69" si="27">IF(ISBLANK(C9),C7,C9)</f>
        <v>0.21</v>
      </c>
      <c r="D69" s="11">
        <f t="shared" si="27"/>
        <v>0.09</v>
      </c>
      <c r="E69" s="11">
        <f t="shared" si="27"/>
        <v>0.185</v>
      </c>
      <c r="F69" s="11">
        <f t="shared" si="27"/>
        <v>0.14799999999999999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136</v>
      </c>
      <c r="C70" s="11">
        <f t="shared" ref="C70:J70" si="28">IF(ISBLANK(C9),C7,C9)</f>
        <v>0.21</v>
      </c>
      <c r="D70" s="11">
        <f t="shared" si="28"/>
        <v>0.09</v>
      </c>
      <c r="E70" s="11">
        <f t="shared" si="28"/>
        <v>0.185</v>
      </c>
      <c r="F70" s="11">
        <f t="shared" si="28"/>
        <v>0.14799999999999999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137</v>
      </c>
      <c r="C71" s="11">
        <f t="shared" ref="C71:J71" si="29">IF(ISBLANK(C9),C7,C9)</f>
        <v>0.21</v>
      </c>
      <c r="D71" s="11">
        <f t="shared" si="29"/>
        <v>0.09</v>
      </c>
      <c r="E71" s="11">
        <f t="shared" si="29"/>
        <v>0.185</v>
      </c>
      <c r="F71" s="11">
        <f t="shared" si="29"/>
        <v>0.14799999999999999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138</v>
      </c>
      <c r="C72" s="11">
        <f t="shared" ref="C72:J72" si="30">IF(ISBLANK(C9),C7,C9)</f>
        <v>0.21</v>
      </c>
      <c r="D72" s="11">
        <f t="shared" si="30"/>
        <v>0.09</v>
      </c>
      <c r="E72" s="11">
        <f t="shared" si="30"/>
        <v>0.185</v>
      </c>
      <c r="F72" s="11">
        <f t="shared" si="30"/>
        <v>0.14799999999999999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139</v>
      </c>
      <c r="C73" s="11">
        <f t="shared" ref="C73:J73" si="31">IF(ISBLANK(C9),C7,C9)</f>
        <v>0.21</v>
      </c>
      <c r="D73" s="11">
        <f t="shared" si="31"/>
        <v>0.09</v>
      </c>
      <c r="E73" s="11">
        <f t="shared" si="31"/>
        <v>0.185</v>
      </c>
      <c r="F73" s="11">
        <f t="shared" si="31"/>
        <v>0.14799999999999999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140</v>
      </c>
      <c r="C75" s="6">
        <f t="shared" ref="C75:J79" si="32">C63*C69</f>
        <v>3798.8504703896874</v>
      </c>
      <c r="D75" s="6">
        <f t="shared" si="32"/>
        <v>440.58852328865476</v>
      </c>
      <c r="E75" s="6">
        <f t="shared" si="32"/>
        <v>1219.2458764554574</v>
      </c>
      <c r="F75" s="6">
        <f t="shared" si="32"/>
        <v>420.04529533889996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141</v>
      </c>
      <c r="C76" s="6">
        <f t="shared" si="32"/>
        <v>3969.7987415572229</v>
      </c>
      <c r="D76" s="6">
        <f t="shared" si="32"/>
        <v>449.40029375442788</v>
      </c>
      <c r="E76" s="6">
        <f t="shared" si="32"/>
        <v>1296.0583666721511</v>
      </c>
      <c r="F76" s="6">
        <f t="shared" si="32"/>
        <v>436.84710715245598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142</v>
      </c>
      <c r="C77" s="6">
        <f t="shared" si="32"/>
        <v>4128.5906912195123</v>
      </c>
      <c r="D77" s="6">
        <f t="shared" si="32"/>
        <v>458.3882996295165</v>
      </c>
      <c r="E77" s="6">
        <f t="shared" si="32"/>
        <v>1363.4534017391031</v>
      </c>
      <c r="F77" s="6">
        <f t="shared" si="32"/>
        <v>452.13675590279195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143</v>
      </c>
      <c r="C78" s="6">
        <f t="shared" si="32"/>
        <v>4273.091365412195</v>
      </c>
      <c r="D78" s="6">
        <f t="shared" si="32"/>
        <v>467.55606562210676</v>
      </c>
      <c r="E78" s="6">
        <f t="shared" si="32"/>
        <v>1419.3549912104063</v>
      </c>
      <c r="F78" s="6">
        <f t="shared" si="32"/>
        <v>465.70085857987573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144</v>
      </c>
      <c r="C79" s="6">
        <f t="shared" si="32"/>
        <v>4401.2841063745609</v>
      </c>
      <c r="D79" s="6">
        <f t="shared" si="32"/>
        <v>476.90718693454892</v>
      </c>
      <c r="E79" s="6">
        <f t="shared" si="32"/>
        <v>1461.9356409467184</v>
      </c>
      <c r="F79" s="6">
        <f t="shared" si="32"/>
        <v>477.34338004437262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145</v>
      </c>
      <c r="C81" s="6">
        <f>C75*(1-Inputs!B22)</f>
        <v>2887.1263574961627</v>
      </c>
      <c r="D81" s="6">
        <f>D75*(1-Inputs!B22)</f>
        <v>334.84727769937763</v>
      </c>
      <c r="E81" s="6">
        <f>E75*(1-Inputs!B22)</f>
        <v>926.62686610614765</v>
      </c>
      <c r="F81" s="6">
        <f>F75*(1-Inputs!B22)</f>
        <v>319.23442445756399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146</v>
      </c>
      <c r="C82" s="6">
        <f>C76*(1-Inputs!B22)</f>
        <v>3017.0470435834895</v>
      </c>
      <c r="D82" s="6">
        <f>D76*(1-Inputs!B22)</f>
        <v>341.5442232533652</v>
      </c>
      <c r="E82" s="6">
        <f>E76*(1-Inputs!B22)</f>
        <v>985.0043586708349</v>
      </c>
      <c r="F82" s="6">
        <f>F76*(1-Inputs!B22)</f>
        <v>332.00380143586654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147</v>
      </c>
      <c r="C83" s="6">
        <f>C77*(1-Inputs!B22)</f>
        <v>3137.7289253268295</v>
      </c>
      <c r="D83" s="6">
        <f>D77*(1-Inputs!B22)</f>
        <v>348.37510771843256</v>
      </c>
      <c r="E83" s="6">
        <f>E77*(1-Inputs!B22)</f>
        <v>1036.2245853217185</v>
      </c>
      <c r="F83" s="6">
        <f>F77*(1-Inputs!B22)</f>
        <v>343.62393448612187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148</v>
      </c>
      <c r="C84" s="6">
        <f>C78*(1-Inputs!B22)</f>
        <v>3247.5494377132682</v>
      </c>
      <c r="D84" s="6">
        <f>D78*(1-Inputs!B22)</f>
        <v>355.34260987280112</v>
      </c>
      <c r="E84" s="6">
        <f>E78*(1-Inputs!B22)</f>
        <v>1078.7097933199088</v>
      </c>
      <c r="F84" s="6">
        <f>F78*(1-Inputs!B22)</f>
        <v>353.93265252070557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149</v>
      </c>
      <c r="C85" s="6">
        <f>C79*(1-Inputs!B22)</f>
        <v>3344.9759208446662</v>
      </c>
      <c r="D85" s="6">
        <f>D79*(1-Inputs!B22)</f>
        <v>362.4494620702572</v>
      </c>
      <c r="E85" s="6">
        <f>E79*(1-Inputs!B22)</f>
        <v>1111.071087119506</v>
      </c>
      <c r="F85" s="6">
        <f>F79*(1-Inputs!B22)</f>
        <v>362.78096883372319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150</v>
      </c>
      <c r="C87" s="6">
        <f t="shared" ref="C87:J87" si="33">C63*MAX(IF(ISBLANK(C26),C12,C26),0)</f>
        <v>90.448820723563983</v>
      </c>
      <c r="D87" s="6">
        <f t="shared" si="33"/>
        <v>48.954280365406085</v>
      </c>
      <c r="E87" s="6">
        <f t="shared" si="33"/>
        <v>32.952591255552903</v>
      </c>
      <c r="F87" s="6">
        <f t="shared" si="33"/>
        <v>14.190719437124999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151</v>
      </c>
      <c r="C88" s="6">
        <f t="shared" ref="C88:J88" si="34">C64*MAX(IF(ISBLANK(C26),C12,C26),0)</f>
        <v>94.519017656124362</v>
      </c>
      <c r="D88" s="6">
        <f t="shared" si="34"/>
        <v>49.933365972714213</v>
      </c>
      <c r="E88" s="6">
        <f t="shared" si="34"/>
        <v>35.028604504652733</v>
      </c>
      <c r="F88" s="6">
        <f t="shared" si="34"/>
        <v>14.758348214610001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152</v>
      </c>
      <c r="C89" s="6">
        <f t="shared" ref="C89:J89" si="35">C65*MAX(IF(ISBLANK(C26),C12,C26),0)</f>
        <v>98.299778362369352</v>
      </c>
      <c r="D89" s="6">
        <f t="shared" si="35"/>
        <v>50.932033292168498</v>
      </c>
      <c r="E89" s="6">
        <f t="shared" si="35"/>
        <v>36.850091938894678</v>
      </c>
      <c r="F89" s="6">
        <f t="shared" si="35"/>
        <v>15.274890402121351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153</v>
      </c>
      <c r="C90" s="6">
        <f t="shared" ref="C90:J90" si="36">C66*MAX(IF(ISBLANK(C26),C12,C26),0)</f>
        <v>101.74027060505227</v>
      </c>
      <c r="D90" s="6">
        <f t="shared" si="36"/>
        <v>51.950673958011869</v>
      </c>
      <c r="E90" s="6">
        <f t="shared" si="36"/>
        <v>38.360945708389359</v>
      </c>
      <c r="F90" s="6">
        <f t="shared" si="36"/>
        <v>15.733137114184993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154</v>
      </c>
      <c r="C91" s="6">
        <f t="shared" ref="C91:J91" si="37">C67*MAX(IF(ISBLANK(C26),C12,C26),0)</f>
        <v>104.79247872320384</v>
      </c>
      <c r="D91" s="6">
        <f t="shared" si="37"/>
        <v>52.989687437172108</v>
      </c>
      <c r="E91" s="6">
        <f t="shared" si="37"/>
        <v>39.511774079641043</v>
      </c>
      <c r="F91" s="6">
        <f t="shared" si="37"/>
        <v>16.126465542039618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155</v>
      </c>
      <c r="C93" s="6">
        <f t="shared" ref="C93:J97" si="38">C81-C87</f>
        <v>2796.6775367725986</v>
      </c>
      <c r="D93" s="6">
        <f t="shared" si="38"/>
        <v>285.89299733397155</v>
      </c>
      <c r="E93" s="6">
        <f t="shared" si="38"/>
        <v>893.67427485059477</v>
      </c>
      <c r="F93" s="6">
        <f t="shared" si="38"/>
        <v>305.04370502043901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156</v>
      </c>
      <c r="C94" s="6">
        <f t="shared" si="38"/>
        <v>2922.528025927365</v>
      </c>
      <c r="D94" s="6">
        <f t="shared" si="38"/>
        <v>291.61085728065098</v>
      </c>
      <c r="E94" s="6">
        <f t="shared" si="38"/>
        <v>949.97575416618213</v>
      </c>
      <c r="F94" s="6">
        <f t="shared" si="38"/>
        <v>317.24545322125653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157</v>
      </c>
      <c r="C95" s="6">
        <f t="shared" si="38"/>
        <v>3039.4291469644604</v>
      </c>
      <c r="D95" s="6">
        <f t="shared" si="38"/>
        <v>297.44307442626405</v>
      </c>
      <c r="E95" s="6">
        <f t="shared" si="38"/>
        <v>999.37449338282374</v>
      </c>
      <c r="F95" s="6">
        <f t="shared" si="38"/>
        <v>328.34904408400052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158</v>
      </c>
      <c r="C96" s="6">
        <f t="shared" si="38"/>
        <v>3145.8091671082157</v>
      </c>
      <c r="D96" s="6">
        <f t="shared" si="38"/>
        <v>303.39193591478926</v>
      </c>
      <c r="E96" s="6">
        <f t="shared" si="38"/>
        <v>1040.3488476115194</v>
      </c>
      <c r="F96" s="6">
        <f t="shared" si="38"/>
        <v>338.19951540652056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159</v>
      </c>
      <c r="C97" s="6">
        <f t="shared" si="38"/>
        <v>3240.1834421214626</v>
      </c>
      <c r="D97" s="6">
        <f t="shared" si="38"/>
        <v>309.45977463308509</v>
      </c>
      <c r="E97" s="6">
        <f t="shared" si="38"/>
        <v>1071.5593130398649</v>
      </c>
      <c r="F97" s="6">
        <f t="shared" si="38"/>
        <v>346.65450329168357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160</v>
      </c>
      <c r="C99" s="6">
        <f t="shared" ref="C99:J99" si="39">C93/(((1+C16)*(1+C16+(C104-C16)*1/5)*(1+C16+(C104-C16)*2/5)*(1+C16+(C104-C16)*3/5)*(1+C16+(C104-C16)*4/5))*(1+C104)^1)</f>
        <v>1843.1744947601205</v>
      </c>
      <c r="D99" s="6">
        <f t="shared" si="39"/>
        <v>188.42025009597899</v>
      </c>
      <c r="E99" s="6">
        <f t="shared" si="39"/>
        <v>588.98375245962359</v>
      </c>
      <c r="F99" s="6">
        <f t="shared" si="39"/>
        <v>201.04168946472288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161</v>
      </c>
      <c r="C100" s="6">
        <f t="shared" ref="C100:J100" si="40">C94/(((1+C16)*(1+C16+(C104-C16)*1/5)*(1+C16+(C104-C16)*2/5)*(1+C16+(C104-C16)*3/5)*(1+C16+(C104-C16)*4/5))*(1+C104)^2)</f>
        <v>1790.4624095760441</v>
      </c>
      <c r="D100" s="6">
        <f t="shared" si="40"/>
        <v>178.6529585185325</v>
      </c>
      <c r="E100" s="6">
        <f t="shared" si="40"/>
        <v>581.9947192135071</v>
      </c>
      <c r="F100" s="6">
        <f t="shared" si="40"/>
        <v>194.35777982705042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162</v>
      </c>
      <c r="C101" s="6">
        <f t="shared" ref="C101:J101" si="41">C95/(((1+C16)*(1+C16+(C104-C16)*1/5)*(1+C16+(C104-C16)*2/5)*(1+C16+(C104-C16)*3/5)*(1+C16+(C104-C16)*4/5))*(1+C104)^3)</f>
        <v>1730.9360049426639</v>
      </c>
      <c r="D101" s="6">
        <f t="shared" si="41"/>
        <v>169.39198186588985</v>
      </c>
      <c r="E101" s="6">
        <f t="shared" si="41"/>
        <v>569.1375614875916</v>
      </c>
      <c r="F101" s="6">
        <f t="shared" si="41"/>
        <v>186.99273946264756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163</v>
      </c>
      <c r="C102" s="6">
        <f t="shared" ref="C102:J102" si="42">C96/(((1+C16)*(1+C16+(C104-C16)*1/5)*(1+C16+(C104-C16)*2/5)*(1+C16+(C104-C16)*3/5)*(1+C16+(C104-C16)*4/5))*(1+C104)^4)</f>
        <v>1665.3435004597184</v>
      </c>
      <c r="D102" s="6">
        <f t="shared" si="42"/>
        <v>160.61107388533625</v>
      </c>
      <c r="E102" s="6">
        <f t="shared" si="42"/>
        <v>550.74484800145626</v>
      </c>
      <c r="F102" s="6">
        <f t="shared" si="42"/>
        <v>179.03767677001647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164</v>
      </c>
      <c r="C103" s="6">
        <f t="shared" ref="C103:J103" si="43">C97/(((1+C16)*(1+C16+(C104-C16)*1/5)*(1+C16+(C104-C16)*2/5)*(1+C16+(C104-C16)*3/5)*(1+C16+(C104-C16)*4/5))*(1+C104)^5)</f>
        <v>1594.4963007823799</v>
      </c>
      <c r="D103" s="6">
        <f t="shared" si="43"/>
        <v>152.2853488722032</v>
      </c>
      <c r="E103" s="6">
        <f t="shared" si="43"/>
        <v>527.31500892810368</v>
      </c>
      <c r="F103" s="6">
        <f t="shared" si="43"/>
        <v>170.58889813542311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165</v>
      </c>
      <c r="C104" s="11">
        <f>MAX((Inputs!B18+((1+(1-Inputs!B22)*(Inputs!B36/(1-Inputs!B36)))/(1+(1-Inputs!B22)*0.25))*Inputs!B19+IF(ISBLANK(C17),Inputs!B24,C17)+Inputs!B25+Inputs!B39)*(1-Inputs!B36)+Inputs!B38*Inputs!B36,C15)</f>
        <v>7.5765308851361346E-2</v>
      </c>
      <c r="D104" s="11">
        <f>MAX((Inputs!B18+((1+(1-Inputs!B22)*(Inputs!B36/(1-Inputs!B36)))/(1+(1-Inputs!B22)*0.25))*Inputs!B19+IF(ISBLANK(D17),Inputs!B24,D17)+Inputs!B25+Inputs!B39)*(1-Inputs!B36)+Inputs!B38*Inputs!B36,D15)</f>
        <v>7.5765308851361346E-2</v>
      </c>
      <c r="E104" s="11">
        <f>MAX((Inputs!B18+((1+(1-Inputs!B22)*(Inputs!B36/(1-Inputs!B36)))/(1+(1-Inputs!B22)*0.25))*Inputs!B19+IF(ISBLANK(E17),Inputs!B24,E17)+Inputs!B25+Inputs!B39)*(1-Inputs!B36)+Inputs!B38*Inputs!B36,E15)</f>
        <v>7.5765308851361346E-2</v>
      </c>
      <c r="F104" s="11">
        <f>MAX((Inputs!B18+((1+(1-Inputs!B22)*(Inputs!B36/(1-Inputs!B36)))/(1+(1-Inputs!B22)*0.25))*Inputs!B19+IF(ISBLANK(F17),Inputs!B24,F17)+Inputs!B25+Inputs!B39)*(1-Inputs!B36)+Inputs!B38*Inputs!B36,F15)</f>
        <v>7.5765308851361346E-2</v>
      </c>
      <c r="G104" s="11">
        <f>MAX((Inputs!B18+((1+(1-Inputs!B22)*(Inputs!B36/(1-Inputs!B36)))/(1+(1-Inputs!B22)*0.25))*Inputs!B19+IF(ISBLANK(G17),Inputs!B24,G17)+Inputs!B25+Inputs!B39)*(1-Inputs!B36)+Inputs!B38*Inputs!B36,G15)</f>
        <v>7.5765308851361346E-2</v>
      </c>
      <c r="H104" s="11">
        <f>MAX((Inputs!B18+((1+(1-Inputs!B22)*(Inputs!B36/(1-Inputs!B36)))/(1+(1-Inputs!B22)*0.25))*Inputs!B19+IF(ISBLANK(H17),Inputs!B24,H17)+Inputs!B25+Inputs!B39)*(1-Inputs!B36)+Inputs!B38*Inputs!B36,H15)</f>
        <v>7.5765308851361346E-2</v>
      </c>
      <c r="I104" s="11">
        <f>MAX((Inputs!B18+((1+(1-Inputs!B22)*(Inputs!B36/(1-Inputs!B36)))/(1+(1-Inputs!B22)*0.25))*Inputs!B19+IF(ISBLANK(I17),Inputs!B24,I17)+Inputs!B25+Inputs!B39)*(1-Inputs!B36)+Inputs!B38*Inputs!B36,I15)</f>
        <v>7.5765308851361346E-2</v>
      </c>
      <c r="J104" s="11">
        <f>MAX((Inputs!B18+((1+(1-Inputs!B22)*(Inputs!B36/(1-Inputs!B36)))/(1+(1-Inputs!B22)*0.25))*Inputs!B19+IF(ISBLANK(J17),Inputs!B24,J17)+Inputs!B25+Inputs!B39)*(1-Inputs!B36)+Inputs!B38*Inputs!B36,J15)</f>
        <v>7.5765308851361346E-2</v>
      </c>
    </row>
    <row r="105" spans="1:11" x14ac:dyDescent="0.4">
      <c r="A105" s="4" t="s">
        <v>166</v>
      </c>
      <c r="C105" s="6">
        <f t="shared" ref="C105:J105" si="44">SUM(C57:C61,C99:C103)</f>
        <v>18145.003036084592</v>
      </c>
      <c r="D105" s="6">
        <f t="shared" si="44"/>
        <v>1450.1145600309935</v>
      </c>
      <c r="E105" s="6">
        <f t="shared" si="44"/>
        <v>5542.3088116185509</v>
      </c>
      <c r="F105" s="6">
        <f t="shared" si="44"/>
        <v>1973.5662008755144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167</v>
      </c>
      <c r="C106" s="6">
        <f t="shared" ref="C106:J106" si="45">IF(C5=0,0,C97*(1+C13)/(C104-C13))</f>
        <v>72923.990444911673</v>
      </c>
      <c r="D106" s="6">
        <f t="shared" si="45"/>
        <v>5660.3106237085103</v>
      </c>
      <c r="E106" s="6">
        <f t="shared" si="45"/>
        <v>24116.653424447057</v>
      </c>
      <c r="F106" s="6">
        <f t="shared" si="45"/>
        <v>6999.2850218707408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168</v>
      </c>
      <c r="C107" s="6">
        <f t="shared" ref="C107:J107" si="46">C106/(((1+C16)*(1+C16+(C104-C16)*1/5)*(1+C16+(C104-C16)*2/5)*(1+C16+(C104-C16)*3/5)*(1+C16+(C104-C16)*4/5))*(1+C104)^5)</f>
        <v>35885.941360952886</v>
      </c>
      <c r="D107" s="6">
        <f t="shared" si="46"/>
        <v>2785.4424022589328</v>
      </c>
      <c r="E107" s="6">
        <f t="shared" si="46"/>
        <v>11867.820251360339</v>
      </c>
      <c r="F107" s="6">
        <f t="shared" si="46"/>
        <v>3444.3525420237779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169</v>
      </c>
      <c r="C109" s="20">
        <f t="shared" ref="C109:J109" si="47">C105+C107</f>
        <v>54030.944397037478</v>
      </c>
      <c r="D109" s="20">
        <f t="shared" si="47"/>
        <v>4235.5569622899266</v>
      </c>
      <c r="E109" s="20">
        <f t="shared" si="47"/>
        <v>17410.129062978889</v>
      </c>
      <c r="F109" s="20">
        <f t="shared" si="47"/>
        <v>5417.9187428992918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81094.549165205579</v>
      </c>
    </row>
    <row r="110" spans="1:11" x14ac:dyDescent="0.4">
      <c r="A110" s="4" t="s">
        <v>170</v>
      </c>
      <c r="K110" s="11">
        <f>IFERROR(SUMPRODUCT(C109:J109,C16:J16)/SUM(C109:J109),0)</f>
        <v>6.8164649484560358E-2</v>
      </c>
    </row>
    <row r="111" spans="1:11" x14ac:dyDescent="0.4">
      <c r="A111" s="4" t="s">
        <v>171</v>
      </c>
      <c r="K111" s="5">
        <v>11985</v>
      </c>
    </row>
    <row r="112" spans="1:11" x14ac:dyDescent="0.4">
      <c r="A112" s="4" t="s">
        <v>172</v>
      </c>
      <c r="K112" s="5">
        <v>51</v>
      </c>
    </row>
    <row r="113" spans="1:11" x14ac:dyDescent="0.4">
      <c r="A113" s="4" t="s">
        <v>173</v>
      </c>
      <c r="K113" s="5">
        <v>-3601.6566661867</v>
      </c>
    </row>
    <row r="114" spans="1:11" x14ac:dyDescent="0.4">
      <c r="A114" s="4" t="s">
        <v>174</v>
      </c>
      <c r="K114" s="5">
        <v>0</v>
      </c>
    </row>
    <row r="115" spans="1:11" x14ac:dyDescent="0.4">
      <c r="A115" s="4" t="s">
        <v>175</v>
      </c>
      <c r="K115" s="5">
        <v>0</v>
      </c>
    </row>
    <row r="116" spans="1:11" x14ac:dyDescent="0.4">
      <c r="A116" s="4" t="s">
        <v>176</v>
      </c>
      <c r="K116" s="5">
        <v>-70</v>
      </c>
    </row>
    <row r="117" spans="1:11" x14ac:dyDescent="0.4">
      <c r="A117" s="4" t="s">
        <v>177</v>
      </c>
      <c r="K117" s="5">
        <v>0</v>
      </c>
    </row>
    <row r="118" spans="1:11" x14ac:dyDescent="0.4">
      <c r="A118" s="4" t="s">
        <v>178</v>
      </c>
      <c r="K118" s="5">
        <v>0</v>
      </c>
    </row>
    <row r="119" spans="1:11" x14ac:dyDescent="0.4">
      <c r="A119" s="4" t="s">
        <v>179</v>
      </c>
      <c r="K119" s="20">
        <f>K109+K113+K114+K115+K116+K117+K118-K111-K112</f>
        <v>65386.892499018883</v>
      </c>
    </row>
    <row r="120" spans="1:11" x14ac:dyDescent="0.4">
      <c r="A120" s="4" t="s">
        <v>180</v>
      </c>
      <c r="K120" s="6">
        <f>Inputs!B11</f>
        <v>1117</v>
      </c>
    </row>
    <row r="122" spans="1:11" ht="15.9" customHeight="1" x14ac:dyDescent="0.45">
      <c r="A122" s="4" t="s">
        <v>181</v>
      </c>
      <c r="K122" s="21">
        <f>K119/K120</f>
        <v>58.537952102971246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182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65</v>
      </c>
      <c r="C5" s="5">
        <v>13182</v>
      </c>
      <c r="D5" s="5">
        <v>4347</v>
      </c>
      <c r="E5" s="5">
        <v>4081</v>
      </c>
      <c r="F5" s="5">
        <v>2128</v>
      </c>
      <c r="G5" s="5"/>
      <c r="H5" s="5"/>
      <c r="I5" s="5"/>
      <c r="J5" s="5"/>
    </row>
    <row r="6" spans="1:11" x14ac:dyDescent="0.4">
      <c r="A6" s="4" t="s">
        <v>66</v>
      </c>
      <c r="C6" s="7">
        <v>0.08</v>
      </c>
      <c r="D6" s="7">
        <v>3.3532040960604838E-2</v>
      </c>
      <c r="E6" s="7">
        <v>0.105</v>
      </c>
      <c r="F6" s="7">
        <v>6.3532040960604858E-2</v>
      </c>
      <c r="G6" s="7"/>
      <c r="H6" s="7"/>
      <c r="I6" s="7"/>
      <c r="J6" s="7"/>
    </row>
    <row r="7" spans="1:11" x14ac:dyDescent="0.4">
      <c r="A7" s="4" t="s">
        <v>67</v>
      </c>
      <c r="C7" s="7">
        <v>0.22706408192120969</v>
      </c>
      <c r="D7" s="7">
        <v>5.7064081921209688E-2</v>
      </c>
      <c r="E7" s="7">
        <v>0.19206408192120969</v>
      </c>
      <c r="F7" s="7">
        <v>0.16506408192120969</v>
      </c>
      <c r="G7" s="7"/>
      <c r="H7" s="7"/>
      <c r="I7" s="7"/>
      <c r="J7" s="7"/>
    </row>
    <row r="8" spans="1:11" x14ac:dyDescent="0.4">
      <c r="A8" s="4" t="s">
        <v>68</v>
      </c>
      <c r="C8" s="15">
        <v>0.19500000000000001</v>
      </c>
      <c r="D8" s="15">
        <v>1.9E-2</v>
      </c>
      <c r="E8" s="15">
        <v>9.2999999999999999E-2</v>
      </c>
      <c r="F8" s="15">
        <v>0.13500000000000001</v>
      </c>
      <c r="G8" s="15"/>
      <c r="H8" s="15"/>
      <c r="I8" s="15"/>
      <c r="J8" s="15"/>
    </row>
    <row r="9" spans="1:11" x14ac:dyDescent="0.4">
      <c r="A9" s="4" t="s">
        <v>69</v>
      </c>
      <c r="C9" s="7">
        <v>0.2370640819212097</v>
      </c>
      <c r="D9" s="7">
        <v>0.12</v>
      </c>
      <c r="E9" s="7">
        <v>0.21206408192120971</v>
      </c>
      <c r="F9" s="7">
        <v>0.1750640819212097</v>
      </c>
      <c r="G9" s="7"/>
      <c r="H9" s="7"/>
      <c r="I9" s="7"/>
      <c r="J9" s="7"/>
    </row>
    <row r="10" spans="1:11" x14ac:dyDescent="0.4">
      <c r="A10" s="4" t="s">
        <v>70</v>
      </c>
      <c r="C10" s="7">
        <v>0.03</v>
      </c>
      <c r="D10" s="7">
        <v>4.4999999999999998E-2</v>
      </c>
      <c r="E10" s="7">
        <v>0.02</v>
      </c>
      <c r="F10" s="7">
        <v>0.02</v>
      </c>
      <c r="G10" s="7"/>
      <c r="H10" s="7"/>
      <c r="I10" s="7"/>
      <c r="J10" s="7"/>
    </row>
    <row r="11" spans="1:11" x14ac:dyDescent="0.4">
      <c r="A11" s="4" t="s">
        <v>71</v>
      </c>
      <c r="C11" s="7">
        <v>0.05</v>
      </c>
      <c r="D11" s="7">
        <v>7.0000000000000007E-2</v>
      </c>
      <c r="E11" s="7">
        <v>0.04</v>
      </c>
      <c r="F11" s="7">
        <v>0.03</v>
      </c>
      <c r="G11" s="7"/>
      <c r="H11" s="7"/>
      <c r="I11" s="7"/>
      <c r="J11" s="7"/>
    </row>
    <row r="12" spans="1:11" x14ac:dyDescent="0.4">
      <c r="A12" s="4" t="s">
        <v>72</v>
      </c>
      <c r="C12" s="7">
        <v>5.0000000000000001E-3</v>
      </c>
      <c r="D12" s="7">
        <v>1.4999999999999999E-2</v>
      </c>
      <c r="E12" s="7">
        <v>5.0000000000000001E-3</v>
      </c>
      <c r="F12" s="7">
        <v>5.0000000000000001E-3</v>
      </c>
      <c r="G12" s="7"/>
      <c r="H12" s="7"/>
      <c r="I12" s="7"/>
      <c r="J12" s="7"/>
    </row>
    <row r="13" spans="1:11" x14ac:dyDescent="0.4">
      <c r="A13" s="4" t="s">
        <v>73</v>
      </c>
      <c r="C13" s="7">
        <v>3.4510680320201617E-2</v>
      </c>
      <c r="D13" s="7">
        <v>2.4510680320201619E-2</v>
      </c>
      <c r="E13" s="7">
        <v>3.4510680320201617E-2</v>
      </c>
      <c r="F13" s="7">
        <v>2.951068032020162E-2</v>
      </c>
      <c r="G13" s="7"/>
      <c r="H13" s="7"/>
      <c r="I13" s="7"/>
      <c r="J13" s="7"/>
    </row>
    <row r="14" spans="1:11" x14ac:dyDescent="0.4">
      <c r="A14" s="4" t="s">
        <v>74</v>
      </c>
      <c r="C14" s="9">
        <v>0.65900000000000003</v>
      </c>
      <c r="D14" s="9">
        <v>0.65900000000000003</v>
      </c>
      <c r="E14" s="9">
        <v>0.65900000000000003</v>
      </c>
      <c r="F14" s="9">
        <v>0.65900000000000003</v>
      </c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6.8164649484560358E-2</v>
      </c>
      <c r="D16" s="11">
        <f>MAX((MAX(Inputs!B18+((1-0.33)*D14*(1+(1-Inputs!B22)*Inputs!B21)+0.33)*Inputs!B19+IF(ISBLANK(D17),Inputs!B24,D17)+Inputs!B25+Inputs!B39,MIN(Inputs!B27,0.08)+0.025))*Inputs!B29+Inputs!B28*Inputs!B30,D15)</f>
        <v>6.8164649484560358E-2</v>
      </c>
      <c r="E16" s="11">
        <f>MAX((MAX(Inputs!B18+((1-0.33)*E14*(1+(1-Inputs!B22)*Inputs!B21)+0.33)*Inputs!B19+IF(ISBLANK(E17),Inputs!B24,E17)+Inputs!B25+Inputs!B39,MIN(Inputs!B27,0.08)+0.025))*Inputs!B29+Inputs!B28*Inputs!B30,E15)</f>
        <v>6.8164649484560358E-2</v>
      </c>
      <c r="F16" s="11">
        <f>MAX((MAX(Inputs!B18+((1-0.33)*F14*(1+(1-Inputs!B22)*Inputs!B21)+0.33)*Inputs!B19+IF(ISBLANK(F17),Inputs!B24,F17)+Inputs!B25+Inputs!B39,MIN(Inputs!B27,0.08)+0.025))*Inputs!B29+Inputs!B28*Inputs!B30,F15)</f>
        <v>6.8164649484560358E-2</v>
      </c>
      <c r="G16" s="11">
        <f>MAX((MAX(Inputs!B18+((1-0.33)*G14*(1+(1-Inputs!B22)*Inputs!B21)+0.33)*Inputs!B19+IF(ISBLANK(G17),Inputs!B24,G17)+Inputs!B25+Inputs!B39,MIN(Inputs!B27,0.08)+0.025))*Inputs!B29+Inputs!B28*Inputs!B30,G15)</f>
        <v>5.2427064083457528E-2</v>
      </c>
      <c r="H16" s="11">
        <f>MAX((MAX(Inputs!B18+((1-0.33)*H14*(1+(1-Inputs!B22)*Inputs!B21)+0.33)*Inputs!B19+IF(ISBLANK(H17),Inputs!B24,H17)+Inputs!B25+Inputs!B39,MIN(Inputs!B27,0.08)+0.025))*Inputs!B29+Inputs!B28*Inputs!B30,H15)</f>
        <v>5.2427064083457528E-2</v>
      </c>
      <c r="I16" s="11">
        <f>MAX((MAX(Inputs!B18+((1-0.33)*I14*(1+(1-Inputs!B22)*Inputs!B21)+0.33)*Inputs!B19+IF(ISBLANK(I17),Inputs!B24,I17)+Inputs!B25+Inputs!B39,MIN(Inputs!B27,0.08)+0.025))*Inputs!B29+Inputs!B28*Inputs!B30,I15)</f>
        <v>5.2427064083457528E-2</v>
      </c>
      <c r="J16" s="11">
        <f>MAX((MAX(Inputs!B18+((1-0.33)*J14*(1+(1-Inputs!B22)*Inputs!B21)+0.33)*Inputs!B19+IF(ISBLANK(J17),Inputs!B24,J17)+Inputs!B25+Inputs!B39,MIN(Inputs!B27,0.08)+0.025))*Inputs!B29+Inputs!B28*Inputs!B30,J15)</f>
        <v>5.2427064083457528E-2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/>
      <c r="H18" s="18"/>
      <c r="I18" s="18"/>
      <c r="J18" s="18"/>
    </row>
    <row r="19" spans="1:10" ht="40" customHeight="1" x14ac:dyDescent="0.4">
      <c r="A19" s="17" t="s">
        <v>83</v>
      </c>
      <c r="C19" s="18" t="s">
        <v>84</v>
      </c>
      <c r="D19" s="18" t="s">
        <v>85</v>
      </c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 t="s">
        <v>90</v>
      </c>
      <c r="E20" s="18" t="s">
        <v>91</v>
      </c>
      <c r="F20" s="18" t="s">
        <v>92</v>
      </c>
      <c r="G20" s="18"/>
      <c r="H20" s="18"/>
      <c r="I20" s="18"/>
      <c r="J20" s="18"/>
    </row>
    <row r="21" spans="1:10" x14ac:dyDescent="0.4">
      <c r="A21" s="4" t="s">
        <v>93</v>
      </c>
      <c r="C21" s="6">
        <f t="shared" ref="C21:J21" si="0">C5*(1+C6)^1</f>
        <v>14236.560000000001</v>
      </c>
      <c r="D21" s="6">
        <f t="shared" si="0"/>
        <v>4492.7637820557493</v>
      </c>
      <c r="E21" s="6">
        <f t="shared" si="0"/>
        <v>4509.5050000000001</v>
      </c>
      <c r="F21" s="6">
        <f t="shared" si="0"/>
        <v>2263.196183164167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94</v>
      </c>
      <c r="C22" s="6">
        <f t="shared" ref="C22:J22" si="1">C5*(1+C6)^2</f>
        <v>15375.484800000002</v>
      </c>
      <c r="D22" s="6">
        <f t="shared" si="1"/>
        <v>4643.4153212219635</v>
      </c>
      <c r="E22" s="6">
        <f t="shared" si="1"/>
        <v>4983.003025</v>
      </c>
      <c r="F22" s="6">
        <f t="shared" si="1"/>
        <v>2406.9816557748377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95</v>
      </c>
      <c r="C23" s="6">
        <f t="shared" ref="C23:J23" si="2">C5*(1+C6)^3</f>
        <v>16605.523584000002</v>
      </c>
      <c r="D23" s="6">
        <f t="shared" si="2"/>
        <v>4799.1185139702793</v>
      </c>
      <c r="E23" s="6">
        <f t="shared" si="2"/>
        <v>5506.2183426249994</v>
      </c>
      <c r="F23" s="6">
        <f t="shared" si="2"/>
        <v>2559.9021129209486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96</v>
      </c>
      <c r="C24" s="6">
        <f t="shared" ref="C24:J24" si="3">C5*(1+C6)^4</f>
        <v>17933.965470720002</v>
      </c>
      <c r="D24" s="6">
        <f t="shared" si="3"/>
        <v>4960.0427525555269</v>
      </c>
      <c r="E24" s="6">
        <f t="shared" si="3"/>
        <v>6084.3712686006256</v>
      </c>
      <c r="F24" s="6">
        <f t="shared" si="3"/>
        <v>2722.5379188141815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97</v>
      </c>
      <c r="C25" s="6">
        <f t="shared" ref="C25:J25" si="4">C5*(1+C6)^5</f>
        <v>19368.682708377604</v>
      </c>
      <c r="D25" s="6">
        <f t="shared" si="4"/>
        <v>5126.3631093005697</v>
      </c>
      <c r="E25" s="6">
        <f t="shared" si="4"/>
        <v>6723.2302518036913</v>
      </c>
      <c r="F25" s="6">
        <f t="shared" si="4"/>
        <v>2895.506309389084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98</v>
      </c>
      <c r="C26" s="7"/>
      <c r="D26" s="7">
        <v>0.01</v>
      </c>
      <c r="E26" s="7"/>
      <c r="F26" s="7"/>
      <c r="G26" s="7"/>
      <c r="H26" s="7"/>
      <c r="I26" s="7"/>
      <c r="J26" s="7"/>
    </row>
    <row r="27" spans="1:10" x14ac:dyDescent="0.4">
      <c r="A27" s="4" t="s">
        <v>99</v>
      </c>
      <c r="C27" s="11">
        <f t="shared" ref="C27:J27" si="5">IF(ISBLANK(C9),C7,C7+(C9-C7)*(0)/4)</f>
        <v>0.22706408192120969</v>
      </c>
      <c r="D27" s="11">
        <f t="shared" si="5"/>
        <v>5.7064081921209688E-2</v>
      </c>
      <c r="E27" s="11">
        <f t="shared" si="5"/>
        <v>0.19206408192120969</v>
      </c>
      <c r="F27" s="11">
        <f t="shared" si="5"/>
        <v>0.16506408192120969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100</v>
      </c>
      <c r="C28" s="11">
        <f t="shared" ref="C28:J28" si="6">IF(ISBLANK(C9),C7,C7+(C9-C7)*(1)/4)</f>
        <v>0.2295640819212097</v>
      </c>
      <c r="D28" s="11">
        <f t="shared" si="6"/>
        <v>7.2798061440907266E-2</v>
      </c>
      <c r="E28" s="11">
        <f t="shared" si="6"/>
        <v>0.19706408192120969</v>
      </c>
      <c r="F28" s="11">
        <f t="shared" si="6"/>
        <v>0.1675640819212097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101</v>
      </c>
      <c r="C29" s="11">
        <f t="shared" ref="C29:J29" si="7">IF(ISBLANK(C9),C7,C7+(C9-C7)*(2)/4)</f>
        <v>0.2320640819212097</v>
      </c>
      <c r="D29" s="11">
        <f t="shared" si="7"/>
        <v>8.8532040960604852E-2</v>
      </c>
      <c r="E29" s="11">
        <f t="shared" si="7"/>
        <v>0.2020640819212097</v>
      </c>
      <c r="F29" s="11">
        <f t="shared" si="7"/>
        <v>0.1700640819212097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102</v>
      </c>
      <c r="C30" s="11">
        <f t="shared" ref="C30:J30" si="8">IF(ISBLANK(C9),C7,C7+(C9-C7)*(3)/4)</f>
        <v>0.2345640819212097</v>
      </c>
      <c r="D30" s="11">
        <f t="shared" si="8"/>
        <v>0.10426602048030242</v>
      </c>
      <c r="E30" s="11">
        <f t="shared" si="8"/>
        <v>0.2070640819212097</v>
      </c>
      <c r="F30" s="11">
        <f t="shared" si="8"/>
        <v>0.1725640819212097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103</v>
      </c>
      <c r="C31" s="11">
        <f t="shared" ref="C31:J31" si="9">IF(ISBLANK(C9),C7,C7+(C9-C7)*(4)/4)</f>
        <v>0.2370640819212097</v>
      </c>
      <c r="D31" s="11">
        <f t="shared" si="9"/>
        <v>0.12</v>
      </c>
      <c r="E31" s="11">
        <f t="shared" si="9"/>
        <v>0.21206408192120971</v>
      </c>
      <c r="F31" s="11">
        <f t="shared" si="9"/>
        <v>0.1750640819212097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104</v>
      </c>
      <c r="C33" s="6">
        <f t="shared" ref="C33:J37" si="10">C21*C27</f>
        <v>3232.6114261162174</v>
      </c>
      <c r="D33" s="6">
        <f t="shared" si="10"/>
        <v>256.37544051187314</v>
      </c>
      <c r="E33" s="6">
        <f t="shared" si="10"/>
        <v>866.11393774410476</v>
      </c>
      <c r="F33" s="6">
        <f t="shared" si="10"/>
        <v>373.57240018157916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105</v>
      </c>
      <c r="C34" s="6">
        <f t="shared" si="10"/>
        <v>3529.6590522055149</v>
      </c>
      <c r="D34" s="6">
        <f t="shared" si="10"/>
        <v>338.03163384996662</v>
      </c>
      <c r="E34" s="6">
        <f t="shared" si="10"/>
        <v>981.97091633223567</v>
      </c>
      <c r="F34" s="6">
        <f t="shared" si="10"/>
        <v>403.32367135110388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106</v>
      </c>
      <c r="C35" s="6">
        <f t="shared" si="10"/>
        <v>3853.5455853419562</v>
      </c>
      <c r="D35" s="6">
        <f t="shared" si="10"/>
        <v>424.87575685361384</v>
      </c>
      <c r="E35" s="6">
        <f t="shared" si="10"/>
        <v>1112.6089542602454</v>
      </c>
      <c r="F35" s="6">
        <f t="shared" si="10"/>
        <v>435.34740264206602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107</v>
      </c>
      <c r="C36" s="6">
        <f t="shared" si="10"/>
        <v>4206.6641458461127</v>
      </c>
      <c r="D36" s="6">
        <f t="shared" si="10"/>
        <v>517.16391922113019</v>
      </c>
      <c r="E36" s="6">
        <f t="shared" si="10"/>
        <v>1259.8547508005745</v>
      </c>
      <c r="F36" s="6">
        <f t="shared" si="10"/>
        <v>469.81225645585016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108</v>
      </c>
      <c r="C37" s="6">
        <f t="shared" si="10"/>
        <v>4591.6189842847461</v>
      </c>
      <c r="D37" s="6">
        <f t="shared" si="10"/>
        <v>615.16357311606839</v>
      </c>
      <c r="E37" s="6">
        <f t="shared" si="10"/>
        <v>1425.7556508936534</v>
      </c>
      <c r="F37" s="6">
        <f t="shared" si="10"/>
        <v>506.89915375027016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109</v>
      </c>
      <c r="C39" s="6">
        <f>C33*(1-Inputs!B22)</f>
        <v>2456.7846838483251</v>
      </c>
      <c r="D39" s="6">
        <f>D33*(1-Inputs!B22)</f>
        <v>194.84533478902358</v>
      </c>
      <c r="E39" s="6">
        <f>E33*(1-Inputs!B22)</f>
        <v>658.24659268551966</v>
      </c>
      <c r="F39" s="6">
        <f>F33*(1-Inputs!B22)</f>
        <v>283.91502413800015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110</v>
      </c>
      <c r="C40" s="6">
        <f>C34*(1-Inputs!B22)</f>
        <v>2682.5408796761913</v>
      </c>
      <c r="D40" s="6">
        <f>D34*(1-Inputs!B22)</f>
        <v>256.90404172597465</v>
      </c>
      <c r="E40" s="6">
        <f>E34*(1-Inputs!B22)</f>
        <v>746.29789641249909</v>
      </c>
      <c r="F40" s="6">
        <f>F34*(1-Inputs!B22)</f>
        <v>306.52599022683893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111</v>
      </c>
      <c r="C41" s="6">
        <f>C35*(1-Inputs!B22)</f>
        <v>2928.6946448598869</v>
      </c>
      <c r="D41" s="6">
        <f>D35*(1-Inputs!B22)</f>
        <v>322.90557520874654</v>
      </c>
      <c r="E41" s="6">
        <f>E35*(1-Inputs!B22)</f>
        <v>845.58280523778649</v>
      </c>
      <c r="F41" s="6">
        <f>F35*(1-Inputs!B22)</f>
        <v>330.86402600797015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112</v>
      </c>
      <c r="C42" s="6">
        <f>C36*(1-Inputs!B22)</f>
        <v>3197.0647508430457</v>
      </c>
      <c r="D42" s="6">
        <f>D36*(1-Inputs!B22)</f>
        <v>393.04457860805894</v>
      </c>
      <c r="E42" s="6">
        <f>E36*(1-Inputs!B22)</f>
        <v>957.48961060843658</v>
      </c>
      <c r="F42" s="6">
        <f>F36*(1-Inputs!B22)</f>
        <v>357.05731490644615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113</v>
      </c>
      <c r="C43" s="6">
        <f>C37*(1-Inputs!B22)</f>
        <v>3489.6304280564073</v>
      </c>
      <c r="D43" s="6">
        <f>D37*(1-Inputs!B22)</f>
        <v>467.52431556821199</v>
      </c>
      <c r="E43" s="6">
        <f>E37*(1-Inputs!B22)</f>
        <v>1083.5742946791765</v>
      </c>
      <c r="F43" s="6">
        <f>F37*(1-Inputs!B22)</f>
        <v>385.24335685020532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114</v>
      </c>
      <c r="C45" s="6">
        <f t="shared" ref="C45:J45" si="11">C21*IF(ISBLANK(C26),C12,C12+(C26-C12)*(0)/4)</f>
        <v>71.182800000000015</v>
      </c>
      <c r="D45" s="6">
        <f t="shared" si="11"/>
        <v>67.391456730836239</v>
      </c>
      <c r="E45" s="6">
        <f t="shared" si="11"/>
        <v>22.547525</v>
      </c>
      <c r="F45" s="6">
        <f t="shared" si="11"/>
        <v>11.315980915820836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115</v>
      </c>
      <c r="C46" s="6">
        <f t="shared" ref="C46:J46" si="12">C22*IF(ISBLANK(C26),C12,C12+(C26-C12)*(1)/4)</f>
        <v>76.877424000000005</v>
      </c>
      <c r="D46" s="6">
        <f t="shared" si="12"/>
        <v>63.846960666801998</v>
      </c>
      <c r="E46" s="6">
        <f t="shared" si="12"/>
        <v>24.915015125</v>
      </c>
      <c r="F46" s="6">
        <f t="shared" si="12"/>
        <v>12.034908278874189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116</v>
      </c>
      <c r="C47" s="6">
        <f t="shared" ref="C47:J47" si="13">C23*IF(ISBLANK(C26),C12,C12+(C26-C12)*(2)/4)</f>
        <v>83.027617920000012</v>
      </c>
      <c r="D47" s="6">
        <f t="shared" si="13"/>
        <v>59.988981424628491</v>
      </c>
      <c r="E47" s="6">
        <f t="shared" si="13"/>
        <v>27.531091713124997</v>
      </c>
      <c r="F47" s="6">
        <f t="shared" si="13"/>
        <v>12.799510564604743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117</v>
      </c>
      <c r="C48" s="6">
        <f t="shared" ref="C48:J48" si="14">C24*IF(ISBLANK(C26),C12,C12+(C26-C12)*(3)/4)</f>
        <v>89.669827353600013</v>
      </c>
      <c r="D48" s="6">
        <f t="shared" si="14"/>
        <v>55.800480966249673</v>
      </c>
      <c r="E48" s="6">
        <f t="shared" si="14"/>
        <v>30.421856343003128</v>
      </c>
      <c r="F48" s="6">
        <f t="shared" si="14"/>
        <v>13.612689594070908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118</v>
      </c>
      <c r="C49" s="6">
        <f t="shared" ref="C49:J49" si="15">C25*IF(ISBLANK(C26),C12,C12+(C26-C12)*(4)/4)</f>
        <v>96.843413541888026</v>
      </c>
      <c r="D49" s="6">
        <f t="shared" si="15"/>
        <v>51.263631093005699</v>
      </c>
      <c r="E49" s="6">
        <f t="shared" si="15"/>
        <v>33.616151259018459</v>
      </c>
      <c r="F49" s="6">
        <f t="shared" si="15"/>
        <v>14.47753154694542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119</v>
      </c>
      <c r="C51" s="6">
        <f t="shared" ref="C51:J55" si="16">C39-C45</f>
        <v>2385.6018838483251</v>
      </c>
      <c r="D51" s="6">
        <f t="shared" si="16"/>
        <v>127.45387805818734</v>
      </c>
      <c r="E51" s="6">
        <f t="shared" si="16"/>
        <v>635.69906768551971</v>
      </c>
      <c r="F51" s="6">
        <f t="shared" si="16"/>
        <v>272.59904322217932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120</v>
      </c>
      <c r="C52" s="6">
        <f t="shared" si="16"/>
        <v>2605.6634556761915</v>
      </c>
      <c r="D52" s="6">
        <f t="shared" si="16"/>
        <v>193.05708105917265</v>
      </c>
      <c r="E52" s="6">
        <f t="shared" si="16"/>
        <v>721.38288128749912</v>
      </c>
      <c r="F52" s="6">
        <f t="shared" si="16"/>
        <v>294.49108194796474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121</v>
      </c>
      <c r="C53" s="6">
        <f t="shared" si="16"/>
        <v>2845.6670269398869</v>
      </c>
      <c r="D53" s="6">
        <f t="shared" si="16"/>
        <v>262.91659378411805</v>
      </c>
      <c r="E53" s="6">
        <f t="shared" si="16"/>
        <v>818.05171352466152</v>
      </c>
      <c r="F53" s="6">
        <f t="shared" si="16"/>
        <v>318.06451544336539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122</v>
      </c>
      <c r="C54" s="6">
        <f t="shared" si="16"/>
        <v>3107.3949234894458</v>
      </c>
      <c r="D54" s="6">
        <f t="shared" si="16"/>
        <v>337.24409764180928</v>
      </c>
      <c r="E54" s="6">
        <f t="shared" si="16"/>
        <v>927.06775426543345</v>
      </c>
      <c r="F54" s="6">
        <f t="shared" si="16"/>
        <v>343.44462531237525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123</v>
      </c>
      <c r="C55" s="6">
        <f t="shared" si="16"/>
        <v>3392.7870145145193</v>
      </c>
      <c r="D55" s="6">
        <f t="shared" si="16"/>
        <v>416.26068447520629</v>
      </c>
      <c r="E55" s="6">
        <f t="shared" si="16"/>
        <v>1049.9581434201582</v>
      </c>
      <c r="F55" s="6">
        <f t="shared" si="16"/>
        <v>370.76582530325987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124</v>
      </c>
      <c r="C57" s="6">
        <f t="shared" ref="C57:J57" si="17">C51/((1+C16))</f>
        <v>2233.3653196625542</v>
      </c>
      <c r="D57" s="6">
        <f t="shared" si="17"/>
        <v>119.32044195591929</v>
      </c>
      <c r="E57" s="6">
        <f t="shared" si="17"/>
        <v>595.13209690310805</v>
      </c>
      <c r="F57" s="6">
        <f t="shared" si="17"/>
        <v>255.20320612905621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125</v>
      </c>
      <c r="C58" s="6">
        <f t="shared" ref="C58:J58" si="18">C52/((1+C16)*(1+C16+(C104-C16)*1/5))</f>
        <v>2280.4696878858367</v>
      </c>
      <c r="D58" s="6">
        <f t="shared" si="18"/>
        <v>168.96304103590032</v>
      </c>
      <c r="E58" s="6">
        <f t="shared" si="18"/>
        <v>631.35236845426527</v>
      </c>
      <c r="F58" s="6">
        <f t="shared" si="18"/>
        <v>257.73780734118537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126</v>
      </c>
      <c r="C59" s="6">
        <f t="shared" ref="C59:J59" si="19">C53/((1+C16)*(1+C16+(C104-C16)*1/5)*(1+C16+(C104-C16)*2/5))</f>
        <v>2324.9708256878407</v>
      </c>
      <c r="D59" s="6">
        <f t="shared" si="19"/>
        <v>214.8084805250858</v>
      </c>
      <c r="E59" s="6">
        <f t="shared" si="19"/>
        <v>668.36574688573455</v>
      </c>
      <c r="F59" s="6">
        <f t="shared" si="19"/>
        <v>259.86551205450837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127</v>
      </c>
      <c r="C60" s="6">
        <f t="shared" ref="C60:J60" si="20">C54/((1+C16)*(1+C16+(C104-C16)*1/5)*(1+C16+(C104-C16)*2/5)*(1+C16+(C104-C16)*3/5))</f>
        <v>2366.6904457331229</v>
      </c>
      <c r="D60" s="6">
        <f t="shared" si="20"/>
        <v>256.85579188385691</v>
      </c>
      <c r="E60" s="6">
        <f t="shared" si="20"/>
        <v>706.08418002544124</v>
      </c>
      <c r="F60" s="6">
        <f t="shared" si="20"/>
        <v>261.57831024980482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128</v>
      </c>
      <c r="C61" s="6">
        <f t="shared" ref="C61:J61" si="21">C55/((1+C16)*(1+C16+(C104-C16)*1/5)*(1+C16+(C104-C16)*2/5)*(1+C16+(C104-C16)*3/5)*(1+C16+(C104-C16)*4/5))</f>
        <v>2405.4602818690505</v>
      </c>
      <c r="D61" s="6">
        <f t="shared" si="21"/>
        <v>295.12567076127277</v>
      </c>
      <c r="E61" s="6">
        <f t="shared" si="21"/>
        <v>744.41236682920885</v>
      </c>
      <c r="F61" s="6">
        <f t="shared" si="21"/>
        <v>262.87016038022915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129</v>
      </c>
    </row>
    <row r="63" spans="1:10" x14ac:dyDescent="0.4">
      <c r="A63" s="4" t="s">
        <v>130</v>
      </c>
      <c r="C63" s="6">
        <f t="shared" ref="C63:J63" si="22">C25*(1+(C6+(C13-C6)*1/5))</f>
        <v>20741.963685148217</v>
      </c>
      <c r="D63" s="6">
        <f t="shared" si="22"/>
        <v>5289.0111729840382</v>
      </c>
      <c r="E63" s="6">
        <f t="shared" si="22"/>
        <v>7334.3862429430228</v>
      </c>
      <c r="F63" s="6">
        <f t="shared" si="22"/>
        <v>3059.7619219612234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131</v>
      </c>
      <c r="C64" s="6">
        <f t="shared" ref="C64:J64" si="23">C63*(1+(C6+(C13-C6)*2/5))</f>
        <v>22023.905653215887</v>
      </c>
      <c r="D64" s="6">
        <f t="shared" si="23"/>
        <v>5447.2768813885914</v>
      </c>
      <c r="E64" s="6">
        <f t="shared" si="23"/>
        <v>7897.6984398384693</v>
      </c>
      <c r="F64" s="6">
        <f t="shared" si="23"/>
        <v>3212.5159361886363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132</v>
      </c>
      <c r="C65" s="6">
        <f t="shared" ref="C65:J65" si="24">C64*(1+(C6+(C13-C6)*3/5))</f>
        <v>23184.706614559043</v>
      </c>
      <c r="D65" s="6">
        <f t="shared" si="24"/>
        <v>5600.450083345987</v>
      </c>
      <c r="E65" s="6">
        <f t="shared" si="24"/>
        <v>8392.9347419852566</v>
      </c>
      <c r="F65" s="6">
        <f t="shared" si="24"/>
        <v>3351.0371322962992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133</v>
      </c>
      <c r="C66" s="6">
        <f t="shared" ref="C66:J66" si="25">C65*(1+(C6+(C13-C6)*4/5))</f>
        <v>24195.757919026157</v>
      </c>
      <c r="D66" s="6">
        <f t="shared" si="25"/>
        <v>5747.8256609782147</v>
      </c>
      <c r="E66" s="6">
        <f t="shared" si="25"/>
        <v>8800.9030818301198</v>
      </c>
      <c r="F66" s="6">
        <f t="shared" si="25"/>
        <v>3472.7298864080672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134</v>
      </c>
      <c r="C67" s="6">
        <f t="shared" ref="C67:J67" si="26">C66*(1+(C6+(C13-C6)*5/5))</f>
        <v>25030.769985674655</v>
      </c>
      <c r="D67" s="6">
        <f t="shared" si="26"/>
        <v>5888.7087782907029</v>
      </c>
      <c r="E67" s="6">
        <f t="shared" si="26"/>
        <v>9104.6282346162352</v>
      </c>
      <c r="F67" s="6">
        <f t="shared" si="26"/>
        <v>3575.212507924266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135</v>
      </c>
      <c r="C69" s="11">
        <f t="shared" ref="C69:J69" si="27">IF(ISBLANK(C9),C7,C9)</f>
        <v>0.2370640819212097</v>
      </c>
      <c r="D69" s="11">
        <f t="shared" si="27"/>
        <v>0.12</v>
      </c>
      <c r="E69" s="11">
        <f t="shared" si="27"/>
        <v>0.21206408192120971</v>
      </c>
      <c r="F69" s="11">
        <f t="shared" si="27"/>
        <v>0.1750640819212097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136</v>
      </c>
      <c r="C70" s="11">
        <f t="shared" ref="C70:J70" si="28">IF(ISBLANK(C9),C7,C9)</f>
        <v>0.2370640819212097</v>
      </c>
      <c r="D70" s="11">
        <f t="shared" si="28"/>
        <v>0.12</v>
      </c>
      <c r="E70" s="11">
        <f t="shared" si="28"/>
        <v>0.21206408192120971</v>
      </c>
      <c r="F70" s="11">
        <f t="shared" si="28"/>
        <v>0.1750640819212097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137</v>
      </c>
      <c r="C71" s="11">
        <f t="shared" ref="C71:J71" si="29">IF(ISBLANK(C9),C7,C9)</f>
        <v>0.2370640819212097</v>
      </c>
      <c r="D71" s="11">
        <f t="shared" si="29"/>
        <v>0.12</v>
      </c>
      <c r="E71" s="11">
        <f t="shared" si="29"/>
        <v>0.21206408192120971</v>
      </c>
      <c r="F71" s="11">
        <f t="shared" si="29"/>
        <v>0.1750640819212097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138</v>
      </c>
      <c r="C72" s="11">
        <f t="shared" ref="C72:J72" si="30">IF(ISBLANK(C9),C7,C9)</f>
        <v>0.2370640819212097</v>
      </c>
      <c r="D72" s="11">
        <f t="shared" si="30"/>
        <v>0.12</v>
      </c>
      <c r="E72" s="11">
        <f t="shared" si="30"/>
        <v>0.21206408192120971</v>
      </c>
      <c r="F72" s="11">
        <f t="shared" si="30"/>
        <v>0.1750640819212097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139</v>
      </c>
      <c r="C73" s="11">
        <f t="shared" ref="C73:J73" si="31">IF(ISBLANK(C9),C7,C9)</f>
        <v>0.2370640819212097</v>
      </c>
      <c r="D73" s="11">
        <f t="shared" si="31"/>
        <v>0.12</v>
      </c>
      <c r="E73" s="11">
        <f t="shared" si="31"/>
        <v>0.21206408192120971</v>
      </c>
      <c r="F73" s="11">
        <f t="shared" si="31"/>
        <v>0.1750640819212097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140</v>
      </c>
      <c r="C75" s="6">
        <f t="shared" ref="C75:J79" si="32">C63*C69</f>
        <v>4917.174578262734</v>
      </c>
      <c r="D75" s="6">
        <f t="shared" si="32"/>
        <v>634.68134075808462</v>
      </c>
      <c r="E75" s="6">
        <f t="shared" si="32"/>
        <v>1555.3598850652627</v>
      </c>
      <c r="F75" s="6">
        <f t="shared" si="32"/>
        <v>535.65441176561762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141</v>
      </c>
      <c r="C76" s="6">
        <f t="shared" si="32"/>
        <v>5221.0769739989646</v>
      </c>
      <c r="D76" s="6">
        <f t="shared" si="32"/>
        <v>653.67322576663094</v>
      </c>
      <c r="E76" s="6">
        <f t="shared" si="32"/>
        <v>1674.8181689349153</v>
      </c>
      <c r="F76" s="6">
        <f t="shared" si="32"/>
        <v>562.39615302611912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142</v>
      </c>
      <c r="C77" s="6">
        <f t="shared" si="32"/>
        <v>5496.2611881930379</v>
      </c>
      <c r="D77" s="6">
        <f t="shared" si="32"/>
        <v>672.05401000151846</v>
      </c>
      <c r="E77" s="6">
        <f t="shared" si="32"/>
        <v>1779.8400006837285</v>
      </c>
      <c r="F77" s="6">
        <f t="shared" si="32"/>
        <v>586.64623904933501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143</v>
      </c>
      <c r="C78" s="6">
        <f t="shared" si="32"/>
        <v>5735.9451374617756</v>
      </c>
      <c r="D78" s="6">
        <f t="shared" si="32"/>
        <v>689.73907931738574</v>
      </c>
      <c r="E78" s="6">
        <f t="shared" si="32"/>
        <v>1866.3554321258496</v>
      </c>
      <c r="F78" s="6">
        <f t="shared" si="32"/>
        <v>607.95026932437509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144</v>
      </c>
      <c r="C79" s="6">
        <f t="shared" si="32"/>
        <v>5933.8965064349331</v>
      </c>
      <c r="D79" s="6">
        <f t="shared" si="32"/>
        <v>706.64505339488437</v>
      </c>
      <c r="E79" s="6">
        <f t="shared" si="32"/>
        <v>1930.7646278078162</v>
      </c>
      <c r="F79" s="6">
        <f t="shared" si="32"/>
        <v>625.89129537298732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145</v>
      </c>
      <c r="C81" s="6">
        <f>C75*(1-Inputs!B22)</f>
        <v>3737.0526794796779</v>
      </c>
      <c r="D81" s="6">
        <f>D75*(1-Inputs!B22)</f>
        <v>482.3578189761443</v>
      </c>
      <c r="E81" s="6">
        <f>E75*(1-Inputs!B22)</f>
        <v>1182.0735126495997</v>
      </c>
      <c r="F81" s="6">
        <f>F75*(1-Inputs!B22)</f>
        <v>407.09735294186942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146</v>
      </c>
      <c r="C82" s="6">
        <f>C76*(1-Inputs!B22)</f>
        <v>3968.0185002392132</v>
      </c>
      <c r="D82" s="6">
        <f>D76*(1-Inputs!B22)</f>
        <v>496.79165158263953</v>
      </c>
      <c r="E82" s="6">
        <f>E76*(1-Inputs!B22)</f>
        <v>1272.8618083905358</v>
      </c>
      <c r="F82" s="6">
        <f>F76*(1-Inputs!B22)</f>
        <v>427.42107629985054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147</v>
      </c>
      <c r="C83" s="6">
        <f>C77*(1-Inputs!B22)</f>
        <v>4177.1585030267088</v>
      </c>
      <c r="D83" s="6">
        <f>D77*(1-Inputs!B22)</f>
        <v>510.76104760115402</v>
      </c>
      <c r="E83" s="6">
        <f>E77*(1-Inputs!B22)</f>
        <v>1352.6784005196337</v>
      </c>
      <c r="F83" s="6">
        <f>F77*(1-Inputs!B22)</f>
        <v>445.85114167749464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148</v>
      </c>
      <c r="C84" s="6">
        <f>C78*(1-Inputs!B22)</f>
        <v>4359.3183044709494</v>
      </c>
      <c r="D84" s="6">
        <f>D78*(1-Inputs!B22)</f>
        <v>524.20170028121322</v>
      </c>
      <c r="E84" s="6">
        <f>E78*(1-Inputs!B22)</f>
        <v>1418.4301284156456</v>
      </c>
      <c r="F84" s="6">
        <f>F78*(1-Inputs!B22)</f>
        <v>462.04220468652505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149</v>
      </c>
      <c r="C85" s="6">
        <f>C79*(1-Inputs!B22)</f>
        <v>4509.7613448905495</v>
      </c>
      <c r="D85" s="6">
        <f>D79*(1-Inputs!B22)</f>
        <v>537.05024058011213</v>
      </c>
      <c r="E85" s="6">
        <f>E79*(1-Inputs!B22)</f>
        <v>1467.3811171339403</v>
      </c>
      <c r="F85" s="6">
        <f>F79*(1-Inputs!B22)</f>
        <v>475.67738448347035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150</v>
      </c>
      <c r="C87" s="6">
        <f t="shared" ref="C87:J87" si="33">C63*MAX(IF(ISBLANK(C26),C12,C26),0)</f>
        <v>103.70981842574109</v>
      </c>
      <c r="D87" s="6">
        <f t="shared" si="33"/>
        <v>52.890111729840385</v>
      </c>
      <c r="E87" s="6">
        <f t="shared" si="33"/>
        <v>36.671931214715116</v>
      </c>
      <c r="F87" s="6">
        <f t="shared" si="33"/>
        <v>15.298809609806117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151</v>
      </c>
      <c r="C88" s="6">
        <f t="shared" ref="C88:J88" si="34">C64*MAX(IF(ISBLANK(C26),C12,C26),0)</f>
        <v>110.11952826607944</v>
      </c>
      <c r="D88" s="6">
        <f t="shared" si="34"/>
        <v>54.472768813885914</v>
      </c>
      <c r="E88" s="6">
        <f t="shared" si="34"/>
        <v>39.488492199192351</v>
      </c>
      <c r="F88" s="6">
        <f t="shared" si="34"/>
        <v>16.06257968094318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152</v>
      </c>
      <c r="C89" s="6">
        <f t="shared" ref="C89:J89" si="35">C65*MAX(IF(ISBLANK(C26),C12,C26),0)</f>
        <v>115.92353307279522</v>
      </c>
      <c r="D89" s="6">
        <f t="shared" si="35"/>
        <v>56.004500833459872</v>
      </c>
      <c r="E89" s="6">
        <f t="shared" si="35"/>
        <v>41.964673709926281</v>
      </c>
      <c r="F89" s="6">
        <f t="shared" si="35"/>
        <v>16.755185661481498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153</v>
      </c>
      <c r="C90" s="6">
        <f t="shared" ref="C90:J90" si="36">C66*MAX(IF(ISBLANK(C26),C12,C26),0)</f>
        <v>120.97878959513079</v>
      </c>
      <c r="D90" s="6">
        <f t="shared" si="36"/>
        <v>57.47825660978215</v>
      </c>
      <c r="E90" s="6">
        <f t="shared" si="36"/>
        <v>44.004515409150599</v>
      </c>
      <c r="F90" s="6">
        <f t="shared" si="36"/>
        <v>17.363649432040337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154</v>
      </c>
      <c r="C91" s="6">
        <f t="shared" ref="C91:J91" si="37">C67*MAX(IF(ISBLANK(C26),C12,C26),0)</f>
        <v>125.15384992837328</v>
      </c>
      <c r="D91" s="6">
        <f t="shared" si="37"/>
        <v>58.887087782907031</v>
      </c>
      <c r="E91" s="6">
        <f t="shared" si="37"/>
        <v>45.523141173081179</v>
      </c>
      <c r="F91" s="6">
        <f t="shared" si="37"/>
        <v>17.87606253962133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155</v>
      </c>
      <c r="C93" s="6">
        <f t="shared" ref="C93:J97" si="38">C81-C87</f>
        <v>3633.3428610539368</v>
      </c>
      <c r="D93" s="6">
        <f t="shared" si="38"/>
        <v>429.46770724630392</v>
      </c>
      <c r="E93" s="6">
        <f t="shared" si="38"/>
        <v>1145.4015814348845</v>
      </c>
      <c r="F93" s="6">
        <f t="shared" si="38"/>
        <v>391.79854333206328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156</v>
      </c>
      <c r="C94" s="6">
        <f t="shared" si="38"/>
        <v>3857.8989719731335</v>
      </c>
      <c r="D94" s="6">
        <f t="shared" si="38"/>
        <v>442.31888276875361</v>
      </c>
      <c r="E94" s="6">
        <f t="shared" si="38"/>
        <v>1233.3733161913435</v>
      </c>
      <c r="F94" s="6">
        <f t="shared" si="38"/>
        <v>411.35849661890734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157</v>
      </c>
      <c r="C95" s="6">
        <f t="shared" si="38"/>
        <v>4061.2349699539136</v>
      </c>
      <c r="D95" s="6">
        <f t="shared" si="38"/>
        <v>454.75654676769415</v>
      </c>
      <c r="E95" s="6">
        <f t="shared" si="38"/>
        <v>1310.7137268097074</v>
      </c>
      <c r="F95" s="6">
        <f t="shared" si="38"/>
        <v>429.09595601601313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158</v>
      </c>
      <c r="C96" s="6">
        <f t="shared" si="38"/>
        <v>4238.3395148758191</v>
      </c>
      <c r="D96" s="6">
        <f t="shared" si="38"/>
        <v>466.72344367143108</v>
      </c>
      <c r="E96" s="6">
        <f t="shared" si="38"/>
        <v>1374.425613006495</v>
      </c>
      <c r="F96" s="6">
        <f t="shared" si="38"/>
        <v>444.67855525448471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159</v>
      </c>
      <c r="C97" s="6">
        <f t="shared" si="38"/>
        <v>4384.6074949621761</v>
      </c>
      <c r="D97" s="6">
        <f t="shared" si="38"/>
        <v>478.1631527972051</v>
      </c>
      <c r="E97" s="6">
        <f t="shared" si="38"/>
        <v>1421.857975960859</v>
      </c>
      <c r="F97" s="6">
        <f t="shared" si="38"/>
        <v>457.80132194384902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160</v>
      </c>
      <c r="C99" s="6">
        <f t="shared" ref="C99:J99" si="39">C93/(((1+C16)*(1+C16+(C104-C16)*1/5)*(1+C16+(C104-C16)*2/5)*(1+C16+(C104-C16)*3/5)*(1+C16+(C104-C16)*4/5))*(1+C104)^1)</f>
        <v>2394.5860057722889</v>
      </c>
      <c r="D99" s="6">
        <f t="shared" si="39"/>
        <v>283.04440319315165</v>
      </c>
      <c r="E99" s="6">
        <f t="shared" si="39"/>
        <v>754.88680886499662</v>
      </c>
      <c r="F99" s="6">
        <f t="shared" si="39"/>
        <v>258.21821524236248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161</v>
      </c>
      <c r="C100" s="6">
        <f t="shared" ref="C100:J100" si="40">C94/(((1+C16)*(1+C16+(C104-C16)*1/5)*(1+C16+(C104-C16)*2/5)*(1+C16+(C104-C16)*3/5)*(1+C16+(C104-C16)*4/5))*(1+C104)^2)</f>
        <v>2363.5096149567717</v>
      </c>
      <c r="D100" s="6">
        <f t="shared" si="40"/>
        <v>270.98297282943122</v>
      </c>
      <c r="E100" s="6">
        <f t="shared" si="40"/>
        <v>755.61587092531556</v>
      </c>
      <c r="F100" s="6">
        <f t="shared" si="40"/>
        <v>252.0153505874961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162</v>
      </c>
      <c r="C101" s="6">
        <f t="shared" ref="C101:J101" si="41">C95/(((1+C16)*(1+C16+(C104-C16)*1/5)*(1+C16+(C104-C16)*2/5)*(1+C16+(C104-C16)*3/5)*(1+C16+(C104-C16)*4/5))*(1+C104)^3)</f>
        <v>2312.8480691995101</v>
      </c>
      <c r="D101" s="6">
        <f t="shared" si="41"/>
        <v>258.98102644364695</v>
      </c>
      <c r="E101" s="6">
        <f t="shared" si="41"/>
        <v>746.4433195204972</v>
      </c>
      <c r="F101" s="6">
        <f t="shared" si="41"/>
        <v>244.36747952660713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163</v>
      </c>
      <c r="C102" s="6">
        <f t="shared" ref="C102:J102" si="42">C96/(((1+C16)*(1+C16+(C104-C16)*1/5)*(1+C16+(C104-C16)*2/5)*(1+C16+(C104-C16)*3/5)*(1+C16+(C104-C16)*4/5))*(1+C104)^4)</f>
        <v>2243.7124405509867</v>
      </c>
      <c r="D102" s="6">
        <f t="shared" si="42"/>
        <v>247.07628852925194</v>
      </c>
      <c r="E102" s="6">
        <f t="shared" si="42"/>
        <v>727.60000365495569</v>
      </c>
      <c r="F102" s="6">
        <f t="shared" si="42"/>
        <v>235.4060600782143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164</v>
      </c>
      <c r="C103" s="6">
        <f t="shared" ref="C103:J103" si="43">C97/(((1+C16)*(1+C16+(C104-C16)*1/5)*(1+C16+(C104-C16)*2/5)*(1+C16+(C104-C16)*3/5)*(1+C16+(C104-C16)*4/5))*(1+C104)^5)</f>
        <v>2157.668093792392</v>
      </c>
      <c r="D103" s="6">
        <f t="shared" si="43"/>
        <v>235.30438690421613</v>
      </c>
      <c r="E103" s="6">
        <f t="shared" si="43"/>
        <v>699.69720029898372</v>
      </c>
      <c r="F103" s="6">
        <f t="shared" si="43"/>
        <v>225.28431719125703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165</v>
      </c>
      <c r="C104" s="11">
        <f>MAX((Inputs!B18+((1+(1-Inputs!B22)*(Inputs!B36/(1-Inputs!B36)))/(1+(1-Inputs!B22)*0.25))*Inputs!B19+IF(ISBLANK(C17),Inputs!B24,C17)+Inputs!B25+Inputs!B39)*(1-Inputs!B36)+Inputs!B38*Inputs!B36,C15)</f>
        <v>7.5765308851361346E-2</v>
      </c>
      <c r="D104" s="11">
        <f>MAX((Inputs!B18+((1+(1-Inputs!B22)*(Inputs!B36/(1-Inputs!B36)))/(1+(1-Inputs!B22)*0.25))*Inputs!B19+IF(ISBLANK(D17),Inputs!B24,D17)+Inputs!B25+Inputs!B39)*(1-Inputs!B36)+Inputs!B38*Inputs!B36,D15)</f>
        <v>7.5765308851361346E-2</v>
      </c>
      <c r="E104" s="11">
        <f>MAX((Inputs!B18+((1+(1-Inputs!B22)*(Inputs!B36/(1-Inputs!B36)))/(1+(1-Inputs!B22)*0.25))*Inputs!B19+IF(ISBLANK(E17),Inputs!B24,E17)+Inputs!B25+Inputs!B39)*(1-Inputs!B36)+Inputs!B38*Inputs!B36,E15)</f>
        <v>7.5765308851361346E-2</v>
      </c>
      <c r="F104" s="11">
        <f>MAX((Inputs!B18+((1+(1-Inputs!B22)*(Inputs!B36/(1-Inputs!B36)))/(1+(1-Inputs!B22)*0.25))*Inputs!B19+IF(ISBLANK(F17),Inputs!B24,F17)+Inputs!B25+Inputs!B39)*(1-Inputs!B36)+Inputs!B38*Inputs!B36,F15)</f>
        <v>7.5765308851361346E-2</v>
      </c>
      <c r="G104" s="11">
        <f>MAX((Inputs!B18+((1+(1-Inputs!B22)*(Inputs!B36/(1-Inputs!B36)))/(1+(1-Inputs!B22)*0.25))*Inputs!B19+IF(ISBLANK(G17),Inputs!B24,G17)+Inputs!B25+Inputs!B39)*(1-Inputs!B36)+Inputs!B38*Inputs!B36,G15)</f>
        <v>7.5765308851361346E-2</v>
      </c>
      <c r="H104" s="11">
        <f>MAX((Inputs!B18+((1+(1-Inputs!B22)*(Inputs!B36/(1-Inputs!B36)))/(1+(1-Inputs!B22)*0.25))*Inputs!B19+IF(ISBLANK(H17),Inputs!B24,H17)+Inputs!B25+Inputs!B39)*(1-Inputs!B36)+Inputs!B38*Inputs!B36,H15)</f>
        <v>7.5765308851361346E-2</v>
      </c>
      <c r="I104" s="11">
        <f>MAX((Inputs!B18+((1+(1-Inputs!B22)*(Inputs!B36/(1-Inputs!B36)))/(1+(1-Inputs!B22)*0.25))*Inputs!B19+IF(ISBLANK(I17),Inputs!B24,I17)+Inputs!B25+Inputs!B39)*(1-Inputs!B36)+Inputs!B38*Inputs!B36,I15)</f>
        <v>7.5765308851361346E-2</v>
      </c>
      <c r="J104" s="11">
        <f>MAX((Inputs!B18+((1+(1-Inputs!B22)*(Inputs!B36/(1-Inputs!B36)))/(1+(1-Inputs!B22)*0.25))*Inputs!B19+IF(ISBLANK(J17),Inputs!B24,J17)+Inputs!B25+Inputs!B39)*(1-Inputs!B36)+Inputs!B38*Inputs!B36,J15)</f>
        <v>7.5765308851361346E-2</v>
      </c>
    </row>
    <row r="105" spans="1:11" x14ac:dyDescent="0.4">
      <c r="A105" s="4" t="s">
        <v>166</v>
      </c>
      <c r="C105" s="6">
        <f t="shared" ref="C105:J105" si="44">SUM(C57:C61,C99:C103)</f>
        <v>23083.280785110353</v>
      </c>
      <c r="D105" s="6">
        <f t="shared" si="44"/>
        <v>2350.4625040617329</v>
      </c>
      <c r="E105" s="6">
        <f t="shared" si="44"/>
        <v>7029.5899623625082</v>
      </c>
      <c r="F105" s="6">
        <f t="shared" si="44"/>
        <v>2512.5464187807206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167</v>
      </c>
      <c r="C106" s="6">
        <f t="shared" ref="C106:J106" si="45">IF(C5=0,0,C97*(1+C13)/(C104-C13))</f>
        <v>109949.43947015257</v>
      </c>
      <c r="D106" s="6">
        <f t="shared" si="45"/>
        <v>9557.8345022732447</v>
      </c>
      <c r="E106" s="6">
        <f t="shared" si="45"/>
        <v>35654.841999582612</v>
      </c>
      <c r="F106" s="6">
        <f t="shared" si="45"/>
        <v>10189.495956894298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168</v>
      </c>
      <c r="C107" s="6">
        <f t="shared" ref="C107:J107" si="46">C106/(((1+C16)*(1+C16+(C104-C16)*1/5)*(1+C16+(C104-C16)*2/5)*(1+C16+(C104-C16)*3/5)*(1+C16+(C104-C16)*4/5))*(1+C104)^5)</f>
        <v>54106.188010599246</v>
      </c>
      <c r="D107" s="6">
        <f t="shared" si="46"/>
        <v>4703.4163434236816</v>
      </c>
      <c r="E107" s="6">
        <f t="shared" si="46"/>
        <v>17545.770074083215</v>
      </c>
      <c r="F107" s="6">
        <f t="shared" si="46"/>
        <v>5014.2573407718592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169</v>
      </c>
      <c r="C109" s="20">
        <f t="shared" ref="C109:J109" si="47">C105+C107</f>
        <v>77189.468795709603</v>
      </c>
      <c r="D109" s="20">
        <f t="shared" si="47"/>
        <v>7053.8788474854146</v>
      </c>
      <c r="E109" s="20">
        <f t="shared" si="47"/>
        <v>24575.360036445723</v>
      </c>
      <c r="F109" s="20">
        <f t="shared" si="47"/>
        <v>7526.8037595525802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116345.51143919332</v>
      </c>
    </row>
    <row r="110" spans="1:11" x14ac:dyDescent="0.4">
      <c r="A110" s="4" t="s">
        <v>170</v>
      </c>
      <c r="K110" s="11">
        <f>IFERROR(SUMPRODUCT(C109:J109,C16:J16)/SUM(C109:J109),0)</f>
        <v>6.8164649484560358E-2</v>
      </c>
    </row>
    <row r="111" spans="1:11" x14ac:dyDescent="0.4">
      <c r="A111" s="4" t="s">
        <v>171</v>
      </c>
      <c r="K111" s="5">
        <v>11985</v>
      </c>
    </row>
    <row r="112" spans="1:11" x14ac:dyDescent="0.4">
      <c r="A112" s="4" t="s">
        <v>172</v>
      </c>
      <c r="K112" s="5">
        <v>51</v>
      </c>
    </row>
    <row r="113" spans="1:11" x14ac:dyDescent="0.4">
      <c r="A113" s="4" t="s">
        <v>173</v>
      </c>
      <c r="K113" s="5">
        <v>-3601.6566661867</v>
      </c>
    </row>
    <row r="114" spans="1:11" x14ac:dyDescent="0.4">
      <c r="A114" s="4" t="s">
        <v>174</v>
      </c>
      <c r="K114" s="5">
        <v>0</v>
      </c>
    </row>
    <row r="115" spans="1:11" x14ac:dyDescent="0.4">
      <c r="A115" s="4" t="s">
        <v>175</v>
      </c>
      <c r="K115" s="5">
        <v>0</v>
      </c>
    </row>
    <row r="116" spans="1:11" x14ac:dyDescent="0.4">
      <c r="A116" s="4" t="s">
        <v>176</v>
      </c>
      <c r="K116" s="5">
        <v>-70</v>
      </c>
    </row>
    <row r="117" spans="1:11" x14ac:dyDescent="0.4">
      <c r="A117" s="4" t="s">
        <v>177</v>
      </c>
      <c r="K117" s="5">
        <v>0</v>
      </c>
    </row>
    <row r="118" spans="1:11" x14ac:dyDescent="0.4">
      <c r="A118" s="4" t="s">
        <v>178</v>
      </c>
      <c r="K118" s="5">
        <v>0</v>
      </c>
    </row>
    <row r="119" spans="1:11" x14ac:dyDescent="0.4">
      <c r="A119" s="4" t="s">
        <v>179</v>
      </c>
      <c r="K119" s="20">
        <f>K109+K113+K114+K115+K116+K117+K118-K111-K112</f>
        <v>100637.85477300662</v>
      </c>
    </row>
    <row r="120" spans="1:11" x14ac:dyDescent="0.4">
      <c r="A120" s="4" t="s">
        <v>180</v>
      </c>
      <c r="K120" s="6">
        <f>Inputs!B11</f>
        <v>1117</v>
      </c>
    </row>
    <row r="122" spans="1:11" ht="15.9" customHeight="1" x14ac:dyDescent="0.45">
      <c r="A122" s="4" t="s">
        <v>181</v>
      </c>
      <c r="K122" s="21">
        <f>K119/K120</f>
        <v>90.096557540740037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65</v>
      </c>
      <c r="C5" s="5">
        <v>13182</v>
      </c>
      <c r="D5" s="5">
        <v>4347</v>
      </c>
      <c r="E5" s="5">
        <v>4081</v>
      </c>
      <c r="F5" s="5">
        <v>2128</v>
      </c>
      <c r="G5" s="5"/>
      <c r="H5" s="5"/>
      <c r="I5" s="5"/>
      <c r="J5" s="5"/>
    </row>
    <row r="6" spans="1:11" x14ac:dyDescent="0.4">
      <c r="A6" s="4" t="s">
        <v>66</v>
      </c>
      <c r="C6" s="7">
        <v>4.1467959039395152E-2</v>
      </c>
      <c r="D6" s="7">
        <v>0</v>
      </c>
      <c r="E6" s="7">
        <v>7.1467959039395151E-2</v>
      </c>
      <c r="F6" s="7">
        <v>3.6467959039395148E-2</v>
      </c>
      <c r="G6" s="7"/>
      <c r="H6" s="7"/>
      <c r="I6" s="7"/>
      <c r="J6" s="7"/>
    </row>
    <row r="7" spans="1:11" x14ac:dyDescent="0.4">
      <c r="A7" s="4" t="s">
        <v>67</v>
      </c>
      <c r="C7" s="7">
        <v>0.17499999999999999</v>
      </c>
      <c r="D7" s="7">
        <v>-1.574762241411308E-3</v>
      </c>
      <c r="E7" s="7">
        <v>0.13342523775858869</v>
      </c>
      <c r="F7" s="7">
        <v>0.123</v>
      </c>
      <c r="G7" s="7"/>
      <c r="H7" s="7"/>
      <c r="I7" s="7"/>
      <c r="J7" s="7"/>
    </row>
    <row r="8" spans="1:11" x14ac:dyDescent="0.4">
      <c r="A8" s="4" t="s">
        <v>68</v>
      </c>
      <c r="C8" s="15">
        <v>0.19500000000000001</v>
      </c>
      <c r="D8" s="15">
        <v>1.9E-2</v>
      </c>
      <c r="E8" s="15">
        <v>9.2999999999999999E-2</v>
      </c>
      <c r="F8" s="15">
        <v>0.13500000000000001</v>
      </c>
      <c r="G8" s="15"/>
      <c r="H8" s="15"/>
      <c r="I8" s="15"/>
      <c r="J8" s="15"/>
    </row>
    <row r="9" spans="1:11" x14ac:dyDescent="0.4">
      <c r="A9" s="4" t="s">
        <v>69</v>
      </c>
      <c r="C9" s="7">
        <v>0.17842523775858871</v>
      </c>
      <c r="D9" s="7">
        <v>5.842523775858869E-2</v>
      </c>
      <c r="E9" s="7">
        <v>0.16500000000000001</v>
      </c>
      <c r="F9" s="7">
        <v>0.11642523775858871</v>
      </c>
      <c r="G9" s="7"/>
      <c r="H9" s="7"/>
      <c r="I9" s="7"/>
      <c r="J9" s="7"/>
    </row>
    <row r="10" spans="1:11" x14ac:dyDescent="0.4">
      <c r="A10" s="4" t="s">
        <v>70</v>
      </c>
      <c r="C10" s="7">
        <v>0.03</v>
      </c>
      <c r="D10" s="7">
        <v>4.4999999999999998E-2</v>
      </c>
      <c r="E10" s="7">
        <v>0.02</v>
      </c>
      <c r="F10" s="7">
        <v>0.02</v>
      </c>
      <c r="G10" s="7"/>
      <c r="H10" s="7"/>
      <c r="I10" s="7"/>
      <c r="J10" s="7"/>
    </row>
    <row r="11" spans="1:11" x14ac:dyDescent="0.4">
      <c r="A11" s="4" t="s">
        <v>71</v>
      </c>
      <c r="C11" s="7">
        <v>0.05</v>
      </c>
      <c r="D11" s="7">
        <v>7.0000000000000007E-2</v>
      </c>
      <c r="E11" s="7">
        <v>0.04</v>
      </c>
      <c r="F11" s="7">
        <v>0.03</v>
      </c>
      <c r="G11" s="7"/>
      <c r="H11" s="7"/>
      <c r="I11" s="7"/>
      <c r="J11" s="7"/>
    </row>
    <row r="12" spans="1:11" x14ac:dyDescent="0.4">
      <c r="A12" s="4" t="s">
        <v>72</v>
      </c>
      <c r="C12" s="7">
        <v>5.0000000000000001E-3</v>
      </c>
      <c r="D12" s="7">
        <v>1.4999999999999999E-2</v>
      </c>
      <c r="E12" s="7">
        <v>5.0000000000000001E-3</v>
      </c>
      <c r="F12" s="7">
        <v>5.0000000000000001E-3</v>
      </c>
      <c r="G12" s="7"/>
      <c r="H12" s="7"/>
      <c r="I12" s="7"/>
      <c r="J12" s="7"/>
    </row>
    <row r="13" spans="1:11" x14ac:dyDescent="0.4">
      <c r="A13" s="4" t="s">
        <v>73</v>
      </c>
      <c r="C13" s="7">
        <v>2.3233979519697572E-2</v>
      </c>
      <c r="D13" s="7">
        <v>1.323397951969758E-2</v>
      </c>
      <c r="E13" s="7">
        <v>2.3233979519697572E-2</v>
      </c>
      <c r="F13" s="7">
        <v>1.8233979519697581E-2</v>
      </c>
      <c r="G13" s="7"/>
      <c r="H13" s="7"/>
      <c r="I13" s="7"/>
      <c r="J13" s="7"/>
    </row>
    <row r="14" spans="1:11" x14ac:dyDescent="0.4">
      <c r="A14" s="4" t="s">
        <v>74</v>
      </c>
      <c r="C14" s="9">
        <v>0.65900000000000003</v>
      </c>
      <c r="D14" s="9">
        <v>0.65900000000000003</v>
      </c>
      <c r="E14" s="9">
        <v>0.65900000000000003</v>
      </c>
      <c r="F14" s="9">
        <v>0.65900000000000003</v>
      </c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6.8164649484560358E-2</v>
      </c>
      <c r="D16" s="11">
        <f>MAX((MAX(Inputs!B18+((1-0.33)*D14*(1+(1-Inputs!B22)*Inputs!B21)+0.33)*Inputs!B19+IF(ISBLANK(D17),Inputs!B24,D17)+Inputs!B25+Inputs!B39,MIN(Inputs!B27,0.08)+0.025))*Inputs!B29+Inputs!B28*Inputs!B30,D15)</f>
        <v>6.8164649484560358E-2</v>
      </c>
      <c r="E16" s="11">
        <f>MAX((MAX(Inputs!B18+((1-0.33)*E14*(1+(1-Inputs!B22)*Inputs!B21)+0.33)*Inputs!B19+IF(ISBLANK(E17),Inputs!B24,E17)+Inputs!B25+Inputs!B39,MIN(Inputs!B27,0.08)+0.025))*Inputs!B29+Inputs!B28*Inputs!B30,E15)</f>
        <v>6.8164649484560358E-2</v>
      </c>
      <c r="F16" s="11">
        <f>MAX((MAX(Inputs!B18+((1-0.33)*F14*(1+(1-Inputs!B22)*Inputs!B21)+0.33)*Inputs!B19+IF(ISBLANK(F17),Inputs!B24,F17)+Inputs!B25+Inputs!B39,MIN(Inputs!B27,0.08)+0.025))*Inputs!B29+Inputs!B28*Inputs!B30,F15)</f>
        <v>6.8164649484560358E-2</v>
      </c>
      <c r="G16" s="11">
        <f>MAX((MAX(Inputs!B18+((1-0.33)*G14*(1+(1-Inputs!B22)*Inputs!B21)+0.33)*Inputs!B19+IF(ISBLANK(G17),Inputs!B24,G17)+Inputs!B25+Inputs!B39,MIN(Inputs!B27,0.08)+0.025))*Inputs!B29+Inputs!B28*Inputs!B30,G15)</f>
        <v>5.2427064083457528E-2</v>
      </c>
      <c r="H16" s="11">
        <f>MAX((MAX(Inputs!B18+((1-0.33)*H14*(1+(1-Inputs!B22)*Inputs!B21)+0.33)*Inputs!B19+IF(ISBLANK(H17),Inputs!B24,H17)+Inputs!B25+Inputs!B39,MIN(Inputs!B27,0.08)+0.025))*Inputs!B29+Inputs!B28*Inputs!B30,H15)</f>
        <v>5.2427064083457528E-2</v>
      </c>
      <c r="I16" s="11">
        <f>MAX((MAX(Inputs!B18+((1-0.33)*I14*(1+(1-Inputs!B22)*Inputs!B21)+0.33)*Inputs!B19+IF(ISBLANK(I17),Inputs!B24,I17)+Inputs!B25+Inputs!B39,MIN(Inputs!B27,0.08)+0.025))*Inputs!B29+Inputs!B28*Inputs!B30,I15)</f>
        <v>5.2427064083457528E-2</v>
      </c>
      <c r="J16" s="11">
        <f>MAX((MAX(Inputs!B18+((1-0.33)*J14*(1+(1-Inputs!B22)*Inputs!B21)+0.33)*Inputs!B19+IF(ISBLANK(J17),Inputs!B24,J17)+Inputs!B25+Inputs!B39,MIN(Inputs!B27,0.08)+0.025))*Inputs!B29+Inputs!B28*Inputs!B30,J15)</f>
        <v>5.2427064083457528E-2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/>
      <c r="H18" s="18"/>
      <c r="I18" s="18"/>
      <c r="J18" s="18"/>
    </row>
    <row r="19" spans="1:10" ht="40" customHeight="1" x14ac:dyDescent="0.4">
      <c r="A19" s="17" t="s">
        <v>83</v>
      </c>
      <c r="C19" s="18" t="s">
        <v>84</v>
      </c>
      <c r="D19" s="18" t="s">
        <v>85</v>
      </c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 t="s">
        <v>90</v>
      </c>
      <c r="E20" s="18" t="s">
        <v>91</v>
      </c>
      <c r="F20" s="18" t="s">
        <v>92</v>
      </c>
      <c r="G20" s="18"/>
      <c r="H20" s="18"/>
      <c r="I20" s="18"/>
      <c r="J20" s="18"/>
    </row>
    <row r="21" spans="1:10" x14ac:dyDescent="0.4">
      <c r="A21" s="4" t="s">
        <v>93</v>
      </c>
      <c r="C21" s="6">
        <f t="shared" ref="C21:J21" si="0">C5*(1+C6)^1</f>
        <v>13728.630636057307</v>
      </c>
      <c r="D21" s="6">
        <f t="shared" si="0"/>
        <v>4347</v>
      </c>
      <c r="E21" s="6">
        <f t="shared" si="0"/>
        <v>4372.6607408397713</v>
      </c>
      <c r="F21" s="6">
        <f t="shared" si="0"/>
        <v>2205.6038168358327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94</v>
      </c>
      <c r="C22" s="6">
        <f t="shared" ref="C22:J22" si="1">C5*(1+C6)^2</f>
        <v>14297.928928940319</v>
      </c>
      <c r="D22" s="6">
        <f t="shared" si="1"/>
        <v>4347</v>
      </c>
      <c r="E22" s="6">
        <f t="shared" si="1"/>
        <v>4685.1658795592803</v>
      </c>
      <c r="F22" s="6">
        <f t="shared" si="1"/>
        <v>2286.0376864853351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95</v>
      </c>
      <c r="C23" s="6">
        <f t="shared" ref="C23:J23" si="2">C5*(1+C6)^3</f>
        <v>14890.834860113797</v>
      </c>
      <c r="D23" s="6">
        <f t="shared" si="2"/>
        <v>4347</v>
      </c>
      <c r="E23" s="6">
        <f t="shared" si="2"/>
        <v>5020.0051227323938</v>
      </c>
      <c r="F23" s="6">
        <f t="shared" si="2"/>
        <v>2369.4048151985958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96</v>
      </c>
      <c r="C24" s="6">
        <f t="shared" ref="C24:J24" si="3">C5*(1+C6)^4</f>
        <v>15508.327390155395</v>
      </c>
      <c r="D24" s="6">
        <f t="shared" si="3"/>
        <v>4347</v>
      </c>
      <c r="E24" s="6">
        <f t="shared" si="3"/>
        <v>5378.7746432213862</v>
      </c>
      <c r="F24" s="6">
        <f t="shared" si="3"/>
        <v>2455.8121729470031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97</v>
      </c>
      <c r="C25" s="6">
        <f t="shared" ref="C25:J25" si="4">C5*(1+C6)^5</f>
        <v>16151.426075139889</v>
      </c>
      <c r="D25" s="6">
        <f t="shared" si="4"/>
        <v>4347</v>
      </c>
      <c r="E25" s="6">
        <f t="shared" si="4"/>
        <v>5763.1846891052701</v>
      </c>
      <c r="F25" s="6">
        <f t="shared" si="4"/>
        <v>2545.370630678482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98</v>
      </c>
      <c r="C26" s="7"/>
      <c r="D26" s="7">
        <v>0.01</v>
      </c>
      <c r="E26" s="7"/>
      <c r="F26" s="7"/>
      <c r="G26" s="7"/>
      <c r="H26" s="7"/>
      <c r="I26" s="7"/>
      <c r="J26" s="7"/>
    </row>
    <row r="27" spans="1:10" x14ac:dyDescent="0.4">
      <c r="A27" s="4" t="s">
        <v>99</v>
      </c>
      <c r="C27" s="11">
        <f t="shared" ref="C27:J27" si="5">IF(ISBLANK(C9),C7,C7+(C9-C7)*(0)/4)</f>
        <v>0.17499999999999999</v>
      </c>
      <c r="D27" s="11">
        <f t="shared" si="5"/>
        <v>-1.574762241411308E-3</v>
      </c>
      <c r="E27" s="11">
        <f t="shared" si="5"/>
        <v>0.13342523775858869</v>
      </c>
      <c r="F27" s="11">
        <f t="shared" si="5"/>
        <v>0.123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100</v>
      </c>
      <c r="C28" s="11">
        <f t="shared" ref="C28:J28" si="6">IF(ISBLANK(C9),C7,C7+(C9-C7)*(1)/4)</f>
        <v>0.17585630943964717</v>
      </c>
      <c r="D28" s="11">
        <f t="shared" si="6"/>
        <v>1.3425237758588691E-2</v>
      </c>
      <c r="E28" s="11">
        <f t="shared" si="6"/>
        <v>0.14131892831894152</v>
      </c>
      <c r="F28" s="11">
        <f t="shared" si="6"/>
        <v>0.12135630943964718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101</v>
      </c>
      <c r="C29" s="11">
        <f t="shared" ref="C29:J29" si="7">IF(ISBLANK(C9),C7,C7+(C9-C7)*(2)/4)</f>
        <v>0.17671261887929435</v>
      </c>
      <c r="D29" s="11">
        <f t="shared" si="7"/>
        <v>2.8425237758588691E-2</v>
      </c>
      <c r="E29" s="11">
        <f t="shared" si="7"/>
        <v>0.14921261887929435</v>
      </c>
      <c r="F29" s="11">
        <f t="shared" si="7"/>
        <v>0.11971261887929435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102</v>
      </c>
      <c r="C30" s="11">
        <f t="shared" ref="C30:J30" si="8">IF(ISBLANK(C9),C7,C7+(C9-C7)*(3)/4)</f>
        <v>0.17756892831894153</v>
      </c>
      <c r="D30" s="11">
        <f t="shared" si="8"/>
        <v>4.342523775858869E-2</v>
      </c>
      <c r="E30" s="11">
        <f t="shared" si="8"/>
        <v>0.15710630943964718</v>
      </c>
      <c r="F30" s="11">
        <f t="shared" si="8"/>
        <v>0.11806892831894153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103</v>
      </c>
      <c r="C31" s="11">
        <f t="shared" ref="C31:J31" si="9">IF(ISBLANK(C9),C7,C7+(C9-C7)*(4)/4)</f>
        <v>0.17842523775858871</v>
      </c>
      <c r="D31" s="11">
        <f t="shared" si="9"/>
        <v>5.842523775858869E-2</v>
      </c>
      <c r="E31" s="11">
        <f t="shared" si="9"/>
        <v>0.16500000000000001</v>
      </c>
      <c r="F31" s="11">
        <f t="shared" si="9"/>
        <v>0.11642523775858871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104</v>
      </c>
      <c r="C33" s="6">
        <f t="shared" ref="C33:J37" si="10">C21*C27</f>
        <v>2402.5103613100287</v>
      </c>
      <c r="D33" s="6">
        <f t="shared" si="10"/>
        <v>-6.8454914634149562</v>
      </c>
      <c r="E33" s="6">
        <f t="shared" si="10"/>
        <v>583.42329898419302</v>
      </c>
      <c r="F33" s="6">
        <f t="shared" si="10"/>
        <v>271.28926947080743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105</v>
      </c>
      <c r="C34" s="6">
        <f t="shared" si="10"/>
        <v>2514.3810140738119</v>
      </c>
      <c r="D34" s="6">
        <f t="shared" si="10"/>
        <v>58.359508536585039</v>
      </c>
      <c r="E34" s="6">
        <f t="shared" si="10"/>
        <v>662.10262109578855</v>
      </c>
      <c r="F34" s="6">
        <f t="shared" si="10"/>
        <v>277.42509687180944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106</v>
      </c>
      <c r="C35" s="6">
        <f t="shared" si="10"/>
        <v>2631.3984254297998</v>
      </c>
      <c r="D35" s="6">
        <f t="shared" si="10"/>
        <v>123.56450853658504</v>
      </c>
      <c r="E35" s="6">
        <f t="shared" si="10"/>
        <v>749.04811115037398</v>
      </c>
      <c r="F35" s="6">
        <f t="shared" si="10"/>
        <v>283.64765561263437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107</v>
      </c>
      <c r="C36" s="6">
        <f t="shared" si="10"/>
        <v>2753.797074689181</v>
      </c>
      <c r="D36" s="6">
        <f t="shared" si="10"/>
        <v>188.76950853658505</v>
      </c>
      <c r="E36" s="6">
        <f t="shared" si="10"/>
        <v>845.03943350406701</v>
      </c>
      <c r="F36" s="6">
        <f t="shared" si="10"/>
        <v>289.95511141246374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108</v>
      </c>
      <c r="C37" s="6">
        <f t="shared" si="10"/>
        <v>2881.8220375971041</v>
      </c>
      <c r="D37" s="6">
        <f t="shared" si="10"/>
        <v>253.97450853658503</v>
      </c>
      <c r="E37" s="6">
        <f t="shared" si="10"/>
        <v>950.92547370236957</v>
      </c>
      <c r="F37" s="6">
        <f t="shared" si="10"/>
        <v>296.34538086047115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109</v>
      </c>
      <c r="C39" s="6">
        <f>C33*(1-Inputs!B22)</f>
        <v>1825.9078745956217</v>
      </c>
      <c r="D39" s="6">
        <f>D33*(1-Inputs!B22)</f>
        <v>-5.2025735121953671</v>
      </c>
      <c r="E39" s="6">
        <f>E33*(1-Inputs!B22)</f>
        <v>443.40170722798672</v>
      </c>
      <c r="F39" s="6">
        <f>F33*(1-Inputs!B22)</f>
        <v>206.17984479781364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110</v>
      </c>
      <c r="C40" s="6">
        <f>C34*(1-Inputs!B22)</f>
        <v>1910.929570696097</v>
      </c>
      <c r="D40" s="6">
        <f>D34*(1-Inputs!B22)</f>
        <v>44.353226487804633</v>
      </c>
      <c r="E40" s="6">
        <f>E34*(1-Inputs!B22)</f>
        <v>503.19799203279928</v>
      </c>
      <c r="F40" s="6">
        <f>F34*(1-Inputs!B22)</f>
        <v>210.84307362257519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111</v>
      </c>
      <c r="C41" s="6">
        <f>C35*(1-Inputs!B22)</f>
        <v>1999.862803326648</v>
      </c>
      <c r="D41" s="6">
        <f>D35*(1-Inputs!B22)</f>
        <v>93.909026487804624</v>
      </c>
      <c r="E41" s="6">
        <f>E35*(1-Inputs!B22)</f>
        <v>569.27656447428421</v>
      </c>
      <c r="F41" s="6">
        <f>F35*(1-Inputs!B22)</f>
        <v>215.57221826560212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112</v>
      </c>
      <c r="C42" s="6">
        <f>C36*(1-Inputs!B22)</f>
        <v>2092.8857767637778</v>
      </c>
      <c r="D42" s="6">
        <f>D36*(1-Inputs!B22)</f>
        <v>143.46482648780463</v>
      </c>
      <c r="E42" s="6">
        <f>E36*(1-Inputs!B22)</f>
        <v>642.22996946309092</v>
      </c>
      <c r="F42" s="6">
        <f>F36*(1-Inputs!B22)</f>
        <v>220.36588467347244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113</v>
      </c>
      <c r="C43" s="6">
        <f>C37*(1-Inputs!B22)</f>
        <v>2190.184748573799</v>
      </c>
      <c r="D43" s="6">
        <f>D37*(1-Inputs!B22)</f>
        <v>193.02062648780463</v>
      </c>
      <c r="E43" s="6">
        <f>E37*(1-Inputs!B22)</f>
        <v>722.70336001380088</v>
      </c>
      <c r="F43" s="6">
        <f>F37*(1-Inputs!B22)</f>
        <v>225.22248945395808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114</v>
      </c>
      <c r="C45" s="6">
        <f t="shared" ref="C45:J45" si="11">C21*IF(ISBLANK(C26),C12,C12+(C26-C12)*(0)/4)</f>
        <v>68.643153180286532</v>
      </c>
      <c r="D45" s="6">
        <f t="shared" si="11"/>
        <v>65.204999999999998</v>
      </c>
      <c r="E45" s="6">
        <f t="shared" si="11"/>
        <v>21.863303704198856</v>
      </c>
      <c r="F45" s="6">
        <f t="shared" si="11"/>
        <v>11.028019084179164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115</v>
      </c>
      <c r="C46" s="6">
        <f t="shared" ref="C46:J46" si="12">C22*IF(ISBLANK(C26),C12,C12+(C26-C12)*(1)/4)</f>
        <v>71.489644644701599</v>
      </c>
      <c r="D46" s="6">
        <f t="shared" si="12"/>
        <v>59.771250000000002</v>
      </c>
      <c r="E46" s="6">
        <f t="shared" si="12"/>
        <v>23.425829397796402</v>
      </c>
      <c r="F46" s="6">
        <f t="shared" si="12"/>
        <v>11.430188432426675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116</v>
      </c>
      <c r="C47" s="6">
        <f t="shared" ref="C47:J47" si="13">C23*IF(ISBLANK(C26),C12,C12+(C26-C12)*(2)/4)</f>
        <v>74.45417430056898</v>
      </c>
      <c r="D47" s="6">
        <f t="shared" si="13"/>
        <v>54.337500000000006</v>
      </c>
      <c r="E47" s="6">
        <f t="shared" si="13"/>
        <v>25.10002561366197</v>
      </c>
      <c r="F47" s="6">
        <f t="shared" si="13"/>
        <v>11.847024075992978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117</v>
      </c>
      <c r="C48" s="6">
        <f t="shared" ref="C48:J48" si="14">C24*IF(ISBLANK(C26),C12,C12+(C26-C12)*(3)/4)</f>
        <v>77.541636950776976</v>
      </c>
      <c r="D48" s="6">
        <f t="shared" si="14"/>
        <v>48.903749999999995</v>
      </c>
      <c r="E48" s="6">
        <f t="shared" si="14"/>
        <v>26.893873216106932</v>
      </c>
      <c r="F48" s="6">
        <f t="shared" si="14"/>
        <v>12.279060864735015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118</v>
      </c>
      <c r="C49" s="6">
        <f t="shared" ref="C49:J49" si="15">C25*IF(ISBLANK(C26),C12,C12+(C26-C12)*(4)/4)</f>
        <v>80.757130375699447</v>
      </c>
      <c r="D49" s="6">
        <f t="shared" si="15"/>
        <v>43.47</v>
      </c>
      <c r="E49" s="6">
        <f t="shared" si="15"/>
        <v>28.815923445526352</v>
      </c>
      <c r="F49" s="6">
        <f t="shared" si="15"/>
        <v>12.72685315339241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119</v>
      </c>
      <c r="C51" s="6">
        <f t="shared" ref="C51:J55" si="16">C39-C45</f>
        <v>1757.2647214153351</v>
      </c>
      <c r="D51" s="6">
        <f t="shared" si="16"/>
        <v>-70.40757351219537</v>
      </c>
      <c r="E51" s="6">
        <f t="shared" si="16"/>
        <v>421.53840352378785</v>
      </c>
      <c r="F51" s="6">
        <f t="shared" si="16"/>
        <v>195.15182571363448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120</v>
      </c>
      <c r="C52" s="6">
        <f t="shared" si="16"/>
        <v>1839.4399260513953</v>
      </c>
      <c r="D52" s="6">
        <f t="shared" si="16"/>
        <v>-15.418023512195369</v>
      </c>
      <c r="E52" s="6">
        <f t="shared" si="16"/>
        <v>479.77216263500287</v>
      </c>
      <c r="F52" s="6">
        <f t="shared" si="16"/>
        <v>199.41288519014853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121</v>
      </c>
      <c r="C53" s="6">
        <f t="shared" si="16"/>
        <v>1925.4086290260789</v>
      </c>
      <c r="D53" s="6">
        <f t="shared" si="16"/>
        <v>39.571526487804618</v>
      </c>
      <c r="E53" s="6">
        <f t="shared" si="16"/>
        <v>544.17653886062226</v>
      </c>
      <c r="F53" s="6">
        <f t="shared" si="16"/>
        <v>203.72519418960914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122</v>
      </c>
      <c r="C54" s="6">
        <f t="shared" si="16"/>
        <v>2015.3441398130008</v>
      </c>
      <c r="D54" s="6">
        <f t="shared" si="16"/>
        <v>94.561076487804627</v>
      </c>
      <c r="E54" s="6">
        <f t="shared" si="16"/>
        <v>615.33609624698397</v>
      </c>
      <c r="F54" s="6">
        <f t="shared" si="16"/>
        <v>208.08682380873742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123</v>
      </c>
      <c r="C55" s="6">
        <f t="shared" si="16"/>
        <v>2109.4276181980995</v>
      </c>
      <c r="D55" s="6">
        <f t="shared" si="16"/>
        <v>149.55062648780464</v>
      </c>
      <c r="E55" s="6">
        <f t="shared" si="16"/>
        <v>693.88743656827455</v>
      </c>
      <c r="F55" s="6">
        <f t="shared" si="16"/>
        <v>212.49563630056568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124</v>
      </c>
      <c r="C57" s="6">
        <f t="shared" ref="C57:J57" si="17">C51/((1+C16))</f>
        <v>1645.1253299416883</v>
      </c>
      <c r="D57" s="6">
        <f t="shared" si="17"/>
        <v>-65.914532507858539</v>
      </c>
      <c r="E57" s="6">
        <f t="shared" si="17"/>
        <v>394.63803986323643</v>
      </c>
      <c r="F57" s="6">
        <f t="shared" si="17"/>
        <v>182.69826267683024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125</v>
      </c>
      <c r="C58" s="6">
        <f t="shared" ref="C58:J58" si="18">C52/((1+C16)*(1+C16+(C104-C16)*1/5))</f>
        <v>1609.8729039274913</v>
      </c>
      <c r="D58" s="6">
        <f t="shared" si="18"/>
        <v>-13.49381294429225</v>
      </c>
      <c r="E58" s="6">
        <f t="shared" si="18"/>
        <v>419.89531364733682</v>
      </c>
      <c r="F58" s="6">
        <f t="shared" si="18"/>
        <v>174.52562381352487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126</v>
      </c>
      <c r="C59" s="6">
        <f t="shared" ref="C59:J59" si="19">C53/((1+C16)*(1+C16+(C104-C16)*1/5)*(1+C16+(C104-C16)*2/5))</f>
        <v>1573.1000316038801</v>
      </c>
      <c r="D59" s="6">
        <f t="shared" si="19"/>
        <v>32.330783517921006</v>
      </c>
      <c r="E59" s="6">
        <f t="shared" si="19"/>
        <v>444.60387139365014</v>
      </c>
      <c r="F59" s="6">
        <f t="shared" si="19"/>
        <v>166.44784103844378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127</v>
      </c>
      <c r="C60" s="6">
        <f t="shared" ref="C60:J60" si="20">C54/((1+C16)*(1+C16+(C104-C16)*1/5)*(1+C16+(C104-C16)*2/5)*(1+C16+(C104-C16)*3/5))</f>
        <v>1534.949962267282</v>
      </c>
      <c r="D60" s="6">
        <f t="shared" si="20"/>
        <v>72.02071245280078</v>
      </c>
      <c r="E60" s="6">
        <f t="shared" si="20"/>
        <v>468.65947063693227</v>
      </c>
      <c r="F60" s="6">
        <f t="shared" si="20"/>
        <v>158.48551919434303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128</v>
      </c>
      <c r="C61" s="6">
        <f t="shared" ref="C61:J61" si="21">C55/((1+C16)*(1+C16+(C104-C16)*1/5)*(1+C16+(C104-C16)*2/5)*(1+C16+(C104-C16)*3/5)*(1+C16+(C104-C16)*4/5))</f>
        <v>1495.568195511745</v>
      </c>
      <c r="D61" s="6">
        <f t="shared" si="21"/>
        <v>106.03026084633942</v>
      </c>
      <c r="E61" s="6">
        <f t="shared" si="21"/>
        <v>491.96093406757871</v>
      </c>
      <c r="F61" s="6">
        <f t="shared" si="21"/>
        <v>150.65779578994392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129</v>
      </c>
    </row>
    <row r="63" spans="1:10" x14ac:dyDescent="0.4">
      <c r="A63" s="4" t="s">
        <v>130</v>
      </c>
      <c r="C63" s="6">
        <f t="shared" ref="C63:J63" si="22">C25*(1+(C6+(C13-C6)*1/5))</f>
        <v>16762.291795598008</v>
      </c>
      <c r="D63" s="6">
        <f t="shared" si="22"/>
        <v>4358.5056217944257</v>
      </c>
      <c r="E63" s="6">
        <f t="shared" si="22"/>
        <v>6119.4714699502074</v>
      </c>
      <c r="F63" s="6">
        <f t="shared" si="22"/>
        <v>2628.9126553881779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131</v>
      </c>
      <c r="C64" s="6">
        <f t="shared" ref="C64:J64" si="23">C63*(1+(C6+(C13-C6)*2/5))</f>
        <v>17335.132511062602</v>
      </c>
      <c r="D64" s="6">
        <f t="shared" si="23"/>
        <v>4381.5777714485521</v>
      </c>
      <c r="E64" s="6">
        <f t="shared" si="23"/>
        <v>6438.7510216861747</v>
      </c>
      <c r="F64" s="6">
        <f t="shared" si="23"/>
        <v>2705.6095186160528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132</v>
      </c>
      <c r="C65" s="6">
        <f t="shared" ref="C65:J65" si="24">C64*(1+(C6+(C13-C6)*3/5))</f>
        <v>17864.332005267057</v>
      </c>
      <c r="D65" s="6">
        <f t="shared" si="24"/>
        <v>4416.3691977433391</v>
      </c>
      <c r="E65" s="6">
        <f t="shared" si="24"/>
        <v>6712.5754650214403</v>
      </c>
      <c r="F65" s="6">
        <f t="shared" si="24"/>
        <v>2774.6771585870943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133</v>
      </c>
      <c r="C66" s="6">
        <f t="shared" ref="C66:J66" si="25">C65*(1+(C6+(C13-C6)*4/5))</f>
        <v>18344.539101993934</v>
      </c>
      <c r="D66" s="6">
        <f t="shared" si="25"/>
        <v>4463.1261093548255</v>
      </c>
      <c r="E66" s="6">
        <f t="shared" si="25"/>
        <v>6933.2901514010264</v>
      </c>
      <c r="F66" s="6">
        <f t="shared" si="25"/>
        <v>2835.3892463672341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134</v>
      </c>
      <c r="C67" s="6">
        <f t="shared" ref="C67:J67" si="26">C66*(1+(C6+(C13-C6)*5/5))</f>
        <v>18770.755747787953</v>
      </c>
      <c r="D67" s="6">
        <f t="shared" si="26"/>
        <v>4522.1910288798554</v>
      </c>
      <c r="E67" s="6">
        <f t="shared" si="26"/>
        <v>7094.3780727827989</v>
      </c>
      <c r="F67" s="6">
        <f t="shared" si="26"/>
        <v>2887.0896758158647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135</v>
      </c>
      <c r="C69" s="11">
        <f t="shared" ref="C69:J69" si="27">IF(ISBLANK(C9),C7,C9)</f>
        <v>0.17842523775858871</v>
      </c>
      <c r="D69" s="11">
        <f t="shared" si="27"/>
        <v>5.842523775858869E-2</v>
      </c>
      <c r="E69" s="11">
        <f t="shared" si="27"/>
        <v>0.16500000000000001</v>
      </c>
      <c r="F69" s="11">
        <f t="shared" si="27"/>
        <v>0.11642523775858871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136</v>
      </c>
      <c r="C70" s="11">
        <f t="shared" ref="C70:J70" si="28">IF(ISBLANK(C9),C7,C9)</f>
        <v>0.17842523775858871</v>
      </c>
      <c r="D70" s="11">
        <f t="shared" si="28"/>
        <v>5.842523775858869E-2</v>
      </c>
      <c r="E70" s="11">
        <f t="shared" si="28"/>
        <v>0.16500000000000001</v>
      </c>
      <c r="F70" s="11">
        <f t="shared" si="28"/>
        <v>0.11642523775858871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137</v>
      </c>
      <c r="C71" s="11">
        <f t="shared" ref="C71:J71" si="29">IF(ISBLANK(C9),C7,C9)</f>
        <v>0.17842523775858871</v>
      </c>
      <c r="D71" s="11">
        <f t="shared" si="29"/>
        <v>5.842523775858869E-2</v>
      </c>
      <c r="E71" s="11">
        <f t="shared" si="29"/>
        <v>0.16500000000000001</v>
      </c>
      <c r="F71" s="11">
        <f t="shared" si="29"/>
        <v>0.11642523775858871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138</v>
      </c>
      <c r="C72" s="11">
        <f t="shared" ref="C72:J72" si="30">IF(ISBLANK(C9),C7,C9)</f>
        <v>0.17842523775858871</v>
      </c>
      <c r="D72" s="11">
        <f t="shared" si="30"/>
        <v>5.842523775858869E-2</v>
      </c>
      <c r="E72" s="11">
        <f t="shared" si="30"/>
        <v>0.16500000000000001</v>
      </c>
      <c r="F72" s="11">
        <f t="shared" si="30"/>
        <v>0.11642523775858871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139</v>
      </c>
      <c r="C73" s="11">
        <f t="shared" ref="C73:J73" si="31">IF(ISBLANK(C9),C7,C9)</f>
        <v>0.17842523775858871</v>
      </c>
      <c r="D73" s="11">
        <f t="shared" si="31"/>
        <v>5.842523775858869E-2</v>
      </c>
      <c r="E73" s="11">
        <f t="shared" si="31"/>
        <v>0.16500000000000001</v>
      </c>
      <c r="F73" s="11">
        <f t="shared" si="31"/>
        <v>0.11642523775858871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140</v>
      </c>
      <c r="C75" s="6">
        <f t="shared" ref="C75:J79" si="32">C63*C69</f>
        <v>2990.8158990084153</v>
      </c>
      <c r="D75" s="6">
        <f t="shared" si="32"/>
        <v>254.64672722548477</v>
      </c>
      <c r="E75" s="6">
        <f t="shared" si="32"/>
        <v>1009.7127925417842</v>
      </c>
      <c r="F75" s="6">
        <f t="shared" si="32"/>
        <v>306.07178095013137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141</v>
      </c>
      <c r="C76" s="6">
        <f t="shared" si="32"/>
        <v>3093.0251398629857</v>
      </c>
      <c r="D76" s="6">
        <f t="shared" si="32"/>
        <v>255.99472305462882</v>
      </c>
      <c r="E76" s="6">
        <f t="shared" si="32"/>
        <v>1062.393918578219</v>
      </c>
      <c r="F76" s="6">
        <f t="shared" si="32"/>
        <v>315.00123148677471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142</v>
      </c>
      <c r="C77" s="6">
        <f t="shared" si="32"/>
        <v>3187.4476854381405</v>
      </c>
      <c r="D77" s="6">
        <f t="shared" si="32"/>
        <v>258.02742040786217</v>
      </c>
      <c r="E77" s="6">
        <f t="shared" si="32"/>
        <v>1107.5749517285376</v>
      </c>
      <c r="F77" s="6">
        <f t="shared" si="32"/>
        <v>323.04244789182781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143</v>
      </c>
      <c r="C78" s="6">
        <f t="shared" si="32"/>
        <v>3273.128750844995</v>
      </c>
      <c r="D78" s="6">
        <f t="shared" si="32"/>
        <v>260.75920408562058</v>
      </c>
      <c r="E78" s="6">
        <f t="shared" si="32"/>
        <v>1143.9928749811695</v>
      </c>
      <c r="F78" s="6">
        <f t="shared" si="32"/>
        <v>330.11086714645086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144</v>
      </c>
      <c r="C79" s="6">
        <f t="shared" si="32"/>
        <v>3349.176557207461</v>
      </c>
      <c r="D79" s="6">
        <f t="shared" si="32"/>
        <v>264.21008605206237</v>
      </c>
      <c r="E79" s="6">
        <f t="shared" si="32"/>
        <v>1170.5723820091619</v>
      </c>
      <c r="F79" s="6">
        <f t="shared" si="32"/>
        <v>336.13010193722886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145</v>
      </c>
      <c r="C81" s="6">
        <f>C75*(1-Inputs!B22)</f>
        <v>2273.0200832463956</v>
      </c>
      <c r="D81" s="6">
        <f>D75*(1-Inputs!B22)</f>
        <v>193.53151269136842</v>
      </c>
      <c r="E81" s="6">
        <f>E75*(1-Inputs!B22)</f>
        <v>767.38172233175601</v>
      </c>
      <c r="F81" s="6">
        <f>F75*(1-Inputs!B22)</f>
        <v>232.61455352209984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146</v>
      </c>
      <c r="C82" s="6">
        <f>C76*(1-Inputs!B22)</f>
        <v>2350.6991062958691</v>
      </c>
      <c r="D82" s="6">
        <f>D76*(1-Inputs!B22)</f>
        <v>194.55598952151792</v>
      </c>
      <c r="E82" s="6">
        <f>E76*(1-Inputs!B22)</f>
        <v>807.41937811944638</v>
      </c>
      <c r="F82" s="6">
        <f>F76*(1-Inputs!B22)</f>
        <v>239.40093592994879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147</v>
      </c>
      <c r="C83" s="6">
        <f>C77*(1-Inputs!B22)</f>
        <v>2422.4602409329868</v>
      </c>
      <c r="D83" s="6">
        <f>D77*(1-Inputs!B22)</f>
        <v>196.10083950997526</v>
      </c>
      <c r="E83" s="6">
        <f>E77*(1-Inputs!B22)</f>
        <v>841.75696331368863</v>
      </c>
      <c r="F83" s="6">
        <f>F77*(1-Inputs!B22)</f>
        <v>245.51226039778913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148</v>
      </c>
      <c r="C84" s="6">
        <f>C78*(1-Inputs!B22)</f>
        <v>2487.5778506421962</v>
      </c>
      <c r="D84" s="6">
        <f>D78*(1-Inputs!B22)</f>
        <v>198.17699510507165</v>
      </c>
      <c r="E84" s="6">
        <f>E78*(1-Inputs!B22)</f>
        <v>869.43458498568884</v>
      </c>
      <c r="F84" s="6">
        <f>F78*(1-Inputs!B22)</f>
        <v>250.88425903130266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149</v>
      </c>
      <c r="C85" s="6">
        <f>C79*(1-Inputs!B22)</f>
        <v>2545.3741834776702</v>
      </c>
      <c r="D85" s="6">
        <f>D79*(1-Inputs!B22)</f>
        <v>200.7996653995674</v>
      </c>
      <c r="E85" s="6">
        <f>E79*(1-Inputs!B22)</f>
        <v>889.63501032696297</v>
      </c>
      <c r="F85" s="6">
        <f>F79*(1-Inputs!B22)</f>
        <v>255.45887747229395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150</v>
      </c>
      <c r="C87" s="6">
        <f t="shared" ref="C87:J87" si="33">C63*MAX(IF(ISBLANK(C26),C12,C26),0)</f>
        <v>83.811458977990043</v>
      </c>
      <c r="D87" s="6">
        <f t="shared" si="33"/>
        <v>43.585056217944256</v>
      </c>
      <c r="E87" s="6">
        <f t="shared" si="33"/>
        <v>30.597357349751036</v>
      </c>
      <c r="F87" s="6">
        <f t="shared" si="33"/>
        <v>13.14456327694089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151</v>
      </c>
      <c r="C88" s="6">
        <f t="shared" ref="C88:J88" si="34">C64*MAX(IF(ISBLANK(C26),C12,C26),0)</f>
        <v>86.675662555313011</v>
      </c>
      <c r="D88" s="6">
        <f t="shared" si="34"/>
        <v>43.81577771448552</v>
      </c>
      <c r="E88" s="6">
        <f t="shared" si="34"/>
        <v>32.193755108430871</v>
      </c>
      <c r="F88" s="6">
        <f t="shared" si="34"/>
        <v>13.528047593080265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152</v>
      </c>
      <c r="C89" s="6">
        <f t="shared" ref="C89:J89" si="35">C65*MAX(IF(ISBLANK(C26),C12,C26),0)</f>
        <v>89.32166002633528</v>
      </c>
      <c r="D89" s="6">
        <f t="shared" si="35"/>
        <v>44.163691977433395</v>
      </c>
      <c r="E89" s="6">
        <f t="shared" si="35"/>
        <v>33.562877325107202</v>
      </c>
      <c r="F89" s="6">
        <f t="shared" si="35"/>
        <v>13.873385792935471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153</v>
      </c>
      <c r="C90" s="6">
        <f t="shared" ref="C90:J90" si="36">C66*MAX(IF(ISBLANK(C26),C12,C26),0)</f>
        <v>91.722695509969668</v>
      </c>
      <c r="D90" s="6">
        <f t="shared" si="36"/>
        <v>44.631261093548254</v>
      </c>
      <c r="E90" s="6">
        <f t="shared" si="36"/>
        <v>34.66645075700513</v>
      </c>
      <c r="F90" s="6">
        <f t="shared" si="36"/>
        <v>14.176946231836171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154</v>
      </c>
      <c r="C91" s="6">
        <f t="shared" ref="C91:J91" si="37">C67*MAX(IF(ISBLANK(C26),C12,C26),0)</f>
        <v>93.853778738939766</v>
      </c>
      <c r="D91" s="6">
        <f t="shared" si="37"/>
        <v>45.221910288798554</v>
      </c>
      <c r="E91" s="6">
        <f t="shared" si="37"/>
        <v>35.471890363913992</v>
      </c>
      <c r="F91" s="6">
        <f t="shared" si="37"/>
        <v>14.435448379079324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155</v>
      </c>
      <c r="C93" s="6">
        <f t="shared" ref="C93:J97" si="38">C81-C87</f>
        <v>2189.2086242684054</v>
      </c>
      <c r="D93" s="6">
        <f t="shared" si="38"/>
        <v>149.94645647342418</v>
      </c>
      <c r="E93" s="6">
        <f t="shared" si="38"/>
        <v>736.78436498200494</v>
      </c>
      <c r="F93" s="6">
        <f t="shared" si="38"/>
        <v>219.46999024515895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156</v>
      </c>
      <c r="C94" s="6">
        <f t="shared" si="38"/>
        <v>2264.0234437405561</v>
      </c>
      <c r="D94" s="6">
        <f t="shared" si="38"/>
        <v>150.74021180703238</v>
      </c>
      <c r="E94" s="6">
        <f t="shared" si="38"/>
        <v>775.2256230110155</v>
      </c>
      <c r="F94" s="6">
        <f t="shared" si="38"/>
        <v>225.87288833686853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157</v>
      </c>
      <c r="C95" s="6">
        <f t="shared" si="38"/>
        <v>2333.1385809066514</v>
      </c>
      <c r="D95" s="6">
        <f t="shared" si="38"/>
        <v>151.93714753254187</v>
      </c>
      <c r="E95" s="6">
        <f t="shared" si="38"/>
        <v>808.19408598858138</v>
      </c>
      <c r="F95" s="6">
        <f t="shared" si="38"/>
        <v>231.63887460485367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158</v>
      </c>
      <c r="C96" s="6">
        <f t="shared" si="38"/>
        <v>2395.8551551322266</v>
      </c>
      <c r="D96" s="6">
        <f t="shared" si="38"/>
        <v>153.54573401152339</v>
      </c>
      <c r="E96" s="6">
        <f t="shared" si="38"/>
        <v>834.76813422868372</v>
      </c>
      <c r="F96" s="6">
        <f t="shared" si="38"/>
        <v>236.70731279946648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159</v>
      </c>
      <c r="C97" s="6">
        <f t="shared" si="38"/>
        <v>2451.5204047387306</v>
      </c>
      <c r="D97" s="6">
        <f t="shared" si="38"/>
        <v>155.57775511076886</v>
      </c>
      <c r="E97" s="6">
        <f t="shared" si="38"/>
        <v>854.16311996304898</v>
      </c>
      <c r="F97" s="6">
        <f t="shared" si="38"/>
        <v>241.02342909321462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160</v>
      </c>
      <c r="C99" s="6">
        <f t="shared" ref="C99:J99" si="39">C93/(((1+C16)*(1+C16+(C104-C16)*1/5)*(1+C16+(C104-C16)*2/5)*(1+C16+(C104-C16)*3/5)*(1+C16+(C104-C16)*4/5))*(1+C104)^1)</f>
        <v>1442.8168592568472</v>
      </c>
      <c r="D99" s="6">
        <f t="shared" si="39"/>
        <v>98.823507722101255</v>
      </c>
      <c r="E99" s="6">
        <f t="shared" si="39"/>
        <v>485.58410178387533</v>
      </c>
      <c r="F99" s="6">
        <f t="shared" si="39"/>
        <v>144.64359335897996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161</v>
      </c>
      <c r="C100" s="6">
        <f t="shared" ref="C100:J100" si="40">C94/(((1+C16)*(1+C16+(C104-C16)*1/5)*(1+C16+(C104-C16)*2/5)*(1+C16+(C104-C16)*3/5)*(1+C16+(C104-C16)*4/5))*(1+C104)^2)</f>
        <v>1387.0350718467726</v>
      </c>
      <c r="D100" s="6">
        <f t="shared" si="40"/>
        <v>92.349732990629079</v>
      </c>
      <c r="E100" s="6">
        <f t="shared" si="40"/>
        <v>474.93550947247263</v>
      </c>
      <c r="F100" s="6">
        <f t="shared" si="40"/>
        <v>138.37914036126392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162</v>
      </c>
      <c r="C101" s="6">
        <f t="shared" ref="C101:J101" si="41">C95/(((1+C16)*(1+C16+(C104-C16)*1/5)*(1+C16+(C104-C16)*2/5)*(1+C16+(C104-C16)*3/5)*(1+C16+(C104-C16)*4/5))*(1+C104)^3)</f>
        <v>1328.7079181449255</v>
      </c>
      <c r="D101" s="6">
        <f t="shared" si="41"/>
        <v>86.527261020385708</v>
      </c>
      <c r="E101" s="6">
        <f t="shared" si="41"/>
        <v>460.26150792707398</v>
      </c>
      <c r="F101" s="6">
        <f t="shared" si="41"/>
        <v>131.91689913166064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163</v>
      </c>
      <c r="C102" s="6">
        <f t="shared" ref="C102:J102" si="42">C96/(((1+C16)*(1+C16+(C104-C16)*1/5)*(1+C16+(C104-C16)*2/5)*(1+C16+(C104-C16)*3/5)*(1+C16+(C104-C16)*4/5))*(1+C104)^4)</f>
        <v>1268.3292592443231</v>
      </c>
      <c r="D102" s="6">
        <f t="shared" si="42"/>
        <v>81.284774942170202</v>
      </c>
      <c r="E102" s="6">
        <f t="shared" si="42"/>
        <v>441.91354684319356</v>
      </c>
      <c r="F102" s="6">
        <f t="shared" si="42"/>
        <v>125.30924920796907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164</v>
      </c>
      <c r="C103" s="6">
        <f t="shared" ref="C103:J103" si="43">C97/(((1+C16)*(1+C16+(C104-C16)*1/5)*(1+C16+(C104-C16)*2/5)*(1+C16+(C104-C16)*3/5)*(1+C16+(C104-C16)*4/5))*(1+C104)^5)</f>
        <v>1206.3947262470754</v>
      </c>
      <c r="D103" s="6">
        <f t="shared" si="43"/>
        <v>76.559910708552025</v>
      </c>
      <c r="E103" s="6">
        <f t="shared" si="43"/>
        <v>420.33420618744179</v>
      </c>
      <c r="F103" s="6">
        <f t="shared" si="43"/>
        <v>118.60778037906179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165</v>
      </c>
      <c r="C104" s="11">
        <f>MAX((Inputs!B18+((1+(1-Inputs!B22)*(Inputs!B36/(1-Inputs!B36)))/(1+(1-Inputs!B22)*0.25))*Inputs!B19+IF(ISBLANK(C17),Inputs!B24,C17)+Inputs!B25+Inputs!B39)*(1-Inputs!B36)+Inputs!B38*Inputs!B36,C15)</f>
        <v>7.5765308851361346E-2</v>
      </c>
      <c r="D104" s="11">
        <f>MAX((Inputs!B18+((1+(1-Inputs!B22)*(Inputs!B36/(1-Inputs!B36)))/(1+(1-Inputs!B22)*0.25))*Inputs!B19+IF(ISBLANK(D17),Inputs!B24,D17)+Inputs!B25+Inputs!B39)*(1-Inputs!B36)+Inputs!B38*Inputs!B36,D15)</f>
        <v>7.5765308851361346E-2</v>
      </c>
      <c r="E104" s="11">
        <f>MAX((Inputs!B18+((1+(1-Inputs!B22)*(Inputs!B36/(1-Inputs!B36)))/(1+(1-Inputs!B22)*0.25))*Inputs!B19+IF(ISBLANK(E17),Inputs!B24,E17)+Inputs!B25+Inputs!B39)*(1-Inputs!B36)+Inputs!B38*Inputs!B36,E15)</f>
        <v>7.5765308851361346E-2</v>
      </c>
      <c r="F104" s="11">
        <f>MAX((Inputs!B18+((1+(1-Inputs!B22)*(Inputs!B36/(1-Inputs!B36)))/(1+(1-Inputs!B22)*0.25))*Inputs!B19+IF(ISBLANK(F17),Inputs!B24,F17)+Inputs!B25+Inputs!B39)*(1-Inputs!B36)+Inputs!B38*Inputs!B36,F15)</f>
        <v>7.5765308851361346E-2</v>
      </c>
      <c r="G104" s="11">
        <f>MAX((Inputs!B18+((1+(1-Inputs!B22)*(Inputs!B36/(1-Inputs!B36)))/(1+(1-Inputs!B22)*0.25))*Inputs!B19+IF(ISBLANK(G17),Inputs!B24,G17)+Inputs!B25+Inputs!B39)*(1-Inputs!B36)+Inputs!B38*Inputs!B36,G15)</f>
        <v>7.5765308851361346E-2</v>
      </c>
      <c r="H104" s="11">
        <f>MAX((Inputs!B18+((1+(1-Inputs!B22)*(Inputs!B36/(1-Inputs!B36)))/(1+(1-Inputs!B22)*0.25))*Inputs!B19+IF(ISBLANK(H17),Inputs!B24,H17)+Inputs!B25+Inputs!B39)*(1-Inputs!B36)+Inputs!B38*Inputs!B36,H15)</f>
        <v>7.5765308851361346E-2</v>
      </c>
      <c r="I104" s="11">
        <f>MAX((Inputs!B18+((1+(1-Inputs!B22)*(Inputs!B36/(1-Inputs!B36)))/(1+(1-Inputs!B22)*0.25))*Inputs!B19+IF(ISBLANK(I17),Inputs!B24,I17)+Inputs!B25+Inputs!B39)*(1-Inputs!B36)+Inputs!B38*Inputs!B36,I15)</f>
        <v>7.5765308851361346E-2</v>
      </c>
      <c r="J104" s="11">
        <f>MAX((Inputs!B18+((1+(1-Inputs!B22)*(Inputs!B36/(1-Inputs!B36)))/(1+(1-Inputs!B22)*0.25))*Inputs!B19+IF(ISBLANK(J17),Inputs!B24,J17)+Inputs!B25+Inputs!B39)*(1-Inputs!B36)+Inputs!B38*Inputs!B36,J15)</f>
        <v>7.5765308851361346E-2</v>
      </c>
    </row>
    <row r="105" spans="1:11" x14ac:dyDescent="0.4">
      <c r="A105" s="4" t="s">
        <v>166</v>
      </c>
      <c r="C105" s="6">
        <f t="shared" ref="C105:J105" si="44">SUM(C57:C61,C99:C103)</f>
        <v>14491.900257992031</v>
      </c>
      <c r="D105" s="6">
        <f t="shared" si="44"/>
        <v>566.51859874874867</v>
      </c>
      <c r="E105" s="6">
        <f t="shared" si="44"/>
        <v>4502.7865018227922</v>
      </c>
      <c r="F105" s="6">
        <f t="shared" si="44"/>
        <v>1491.6717049520212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167</v>
      </c>
      <c r="C106" s="6">
        <f t="shared" ref="C106:J106" si="45">IF(C5=0,0,C97*(1+C13)/(C104-C13))</f>
        <v>47752.055992661517</v>
      </c>
      <c r="D106" s="6">
        <f t="shared" si="45"/>
        <v>2520.9230256329029</v>
      </c>
      <c r="E106" s="6">
        <f t="shared" si="45"/>
        <v>16637.856675595951</v>
      </c>
      <c r="F106" s="6">
        <f t="shared" si="45"/>
        <v>4265.819132185351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168</v>
      </c>
      <c r="C107" s="6">
        <f t="shared" ref="C107:J107" si="46">C106/(((1+C16)*(1+C16+(C104-C16)*1/5)*(1+C16+(C104-C16)*2/5)*(1+C16+(C104-C16)*3/5)*(1+C16+(C104-C16)*4/5))*(1+C104)^5)</f>
        <v>23498.816655022471</v>
      </c>
      <c r="D107" s="6">
        <f t="shared" si="46"/>
        <v>1240.5477994471241</v>
      </c>
      <c r="E107" s="6">
        <f t="shared" si="46"/>
        <v>8187.4996882323721</v>
      </c>
      <c r="F107" s="6">
        <f t="shared" si="46"/>
        <v>2099.2122660878867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169</v>
      </c>
      <c r="C109" s="20">
        <f t="shared" ref="C109:J109" si="47">C105+C107</f>
        <v>37990.716913014505</v>
      </c>
      <c r="D109" s="20">
        <f t="shared" si="47"/>
        <v>1807.0663981958728</v>
      </c>
      <c r="E109" s="20">
        <f t="shared" si="47"/>
        <v>12690.286190055165</v>
      </c>
      <c r="F109" s="20">
        <f t="shared" si="47"/>
        <v>3590.8839710399079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56078.953472305453</v>
      </c>
    </row>
    <row r="110" spans="1:11" x14ac:dyDescent="0.4">
      <c r="A110" s="4" t="s">
        <v>170</v>
      </c>
      <c r="K110" s="11">
        <f>IFERROR(SUMPRODUCT(C109:J109,C16:J16)/SUM(C109:J109),0)</f>
        <v>6.8164649484560358E-2</v>
      </c>
    </row>
    <row r="111" spans="1:11" x14ac:dyDescent="0.4">
      <c r="A111" s="4" t="s">
        <v>171</v>
      </c>
      <c r="K111" s="5">
        <v>11985</v>
      </c>
    </row>
    <row r="112" spans="1:11" x14ac:dyDescent="0.4">
      <c r="A112" s="4" t="s">
        <v>172</v>
      </c>
      <c r="K112" s="5">
        <v>51</v>
      </c>
    </row>
    <row r="113" spans="1:11" x14ac:dyDescent="0.4">
      <c r="A113" s="4" t="s">
        <v>173</v>
      </c>
      <c r="K113" s="5">
        <v>-3601.6566661867</v>
      </c>
    </row>
    <row r="114" spans="1:11" x14ac:dyDescent="0.4">
      <c r="A114" s="4" t="s">
        <v>174</v>
      </c>
      <c r="K114" s="5">
        <v>0</v>
      </c>
    </row>
    <row r="115" spans="1:11" x14ac:dyDescent="0.4">
      <c r="A115" s="4" t="s">
        <v>175</v>
      </c>
      <c r="K115" s="5">
        <v>0</v>
      </c>
    </row>
    <row r="116" spans="1:11" x14ac:dyDescent="0.4">
      <c r="A116" s="4" t="s">
        <v>176</v>
      </c>
      <c r="K116" s="5">
        <v>-70</v>
      </c>
    </row>
    <row r="117" spans="1:11" x14ac:dyDescent="0.4">
      <c r="A117" s="4" t="s">
        <v>177</v>
      </c>
      <c r="K117" s="5">
        <v>0</v>
      </c>
    </row>
    <row r="118" spans="1:11" x14ac:dyDescent="0.4">
      <c r="A118" s="4" t="s">
        <v>178</v>
      </c>
      <c r="K118" s="5">
        <v>0</v>
      </c>
    </row>
    <row r="119" spans="1:11" x14ac:dyDescent="0.4">
      <c r="A119" s="4" t="s">
        <v>179</v>
      </c>
      <c r="K119" s="20">
        <f>K109+K113+K114+K115+K116+K117+K118-K111-K112</f>
        <v>40371.296806118757</v>
      </c>
    </row>
    <row r="120" spans="1:11" x14ac:dyDescent="0.4">
      <c r="A120" s="4" t="s">
        <v>180</v>
      </c>
      <c r="K120" s="6">
        <f>Inputs!B11</f>
        <v>1117</v>
      </c>
    </row>
    <row r="122" spans="1:11" ht="15.9" customHeight="1" x14ac:dyDescent="0.45">
      <c r="A122" s="4" t="s">
        <v>181</v>
      </c>
      <c r="K122" s="21">
        <f>K119/K120</f>
        <v>36.142611285692709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184</v>
      </c>
    </row>
    <row r="2" spans="1:5" x14ac:dyDescent="0.4">
      <c r="A2" s="2" t="s">
        <v>185</v>
      </c>
    </row>
    <row r="3" spans="1:5" x14ac:dyDescent="0.4">
      <c r="A3" s="2" t="s">
        <v>186</v>
      </c>
    </row>
    <row r="4" spans="1:5" x14ac:dyDescent="0.4">
      <c r="A4" s="22" t="s">
        <v>187</v>
      </c>
      <c r="B4" s="22" t="s">
        <v>188</v>
      </c>
      <c r="C4" s="22" t="s">
        <v>189</v>
      </c>
      <c r="D4" s="22" t="s">
        <v>190</v>
      </c>
      <c r="E4" s="22" t="s">
        <v>191</v>
      </c>
    </row>
    <row r="5" spans="1:5" ht="30" customHeight="1" x14ac:dyDescent="0.4">
      <c r="A5" s="23" t="s">
        <v>192</v>
      </c>
      <c r="B5" s="5">
        <v>-350</v>
      </c>
      <c r="C5" s="7">
        <v>0.2</v>
      </c>
      <c r="D5" s="6">
        <f>IF(ISNUMBER(B5),B5*C5,"")</f>
        <v>-70</v>
      </c>
      <c r="E5" s="24" t="s">
        <v>193</v>
      </c>
    </row>
    <row r="6" spans="1:5" ht="30" customHeight="1" x14ac:dyDescent="0.4">
      <c r="A6" s="23"/>
      <c r="B6" s="5"/>
      <c r="C6" s="7"/>
      <c r="D6" s="6" t="str">
        <f>IF(ISNUMBER(B6),B6*C6,"")</f>
        <v/>
      </c>
      <c r="E6" s="24"/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194</v>
      </c>
      <c r="D11" s="20">
        <f>SUM(D5:D9)</f>
        <v>-70</v>
      </c>
    </row>
    <row r="12" spans="1:5" x14ac:dyDescent="0.4">
      <c r="C12" s="4" t="s">
        <v>195</v>
      </c>
      <c r="D12" s="20">
        <f>IF(Inputs!B11&gt;0,D11/Inputs!B11,"")</f>
        <v>-6.266786034019696E-2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196</v>
      </c>
    </row>
    <row r="2" spans="1:12" x14ac:dyDescent="0.4">
      <c r="A2" s="2" t="s">
        <v>197</v>
      </c>
    </row>
    <row r="4" spans="1:12" x14ac:dyDescent="0.4">
      <c r="A4" s="3" t="s">
        <v>198</v>
      </c>
    </row>
    <row r="5" spans="1:12" ht="29.15" customHeight="1" x14ac:dyDescent="0.4">
      <c r="A5" s="25" t="s">
        <v>199</v>
      </c>
      <c r="B5" s="25" t="s">
        <v>200</v>
      </c>
      <c r="C5" s="25" t="s">
        <v>201</v>
      </c>
      <c r="D5" s="25" t="s">
        <v>202</v>
      </c>
      <c r="E5" s="25" t="s">
        <v>203</v>
      </c>
      <c r="F5" s="25" t="s">
        <v>204</v>
      </c>
      <c r="G5" s="25" t="s">
        <v>205</v>
      </c>
      <c r="H5" s="25" t="s">
        <v>206</v>
      </c>
      <c r="I5" s="25" t="s">
        <v>207</v>
      </c>
      <c r="J5" s="25" t="s">
        <v>208</v>
      </c>
      <c r="K5" s="25" t="s">
        <v>209</v>
      </c>
      <c r="L5" s="25" t="s">
        <v>210</v>
      </c>
    </row>
    <row r="6" spans="1:12" x14ac:dyDescent="0.4">
      <c r="A6" s="35" t="s">
        <v>55</v>
      </c>
      <c r="B6" s="36">
        <v>0.08</v>
      </c>
      <c r="C6" s="36">
        <v>5.5E-2</v>
      </c>
      <c r="D6" s="36">
        <v>4.1467959039395152E-2</v>
      </c>
      <c r="E6" s="36">
        <v>0.22706408192120969</v>
      </c>
      <c r="F6" s="36">
        <v>0.2</v>
      </c>
      <c r="G6" s="36">
        <v>0.17499999999999999</v>
      </c>
      <c r="H6" s="36">
        <v>3.4510680320201617E-2</v>
      </c>
      <c r="I6" s="36">
        <v>0.03</v>
      </c>
      <c r="J6" s="36">
        <v>2.3233979519697572E-2</v>
      </c>
      <c r="K6" s="37">
        <v>0.83</v>
      </c>
      <c r="L6" s="37">
        <v>3</v>
      </c>
    </row>
    <row r="7" spans="1:12" x14ac:dyDescent="0.4">
      <c r="A7" s="35" t="s">
        <v>56</v>
      </c>
      <c r="B7" s="36">
        <v>3.3532040960604838E-2</v>
      </c>
      <c r="C7" s="36">
        <v>0.02</v>
      </c>
      <c r="D7" s="36">
        <v>0</v>
      </c>
      <c r="E7" s="36">
        <v>5.7064081921209688E-2</v>
      </c>
      <c r="F7" s="36">
        <v>0.03</v>
      </c>
      <c r="G7" s="36">
        <v>-1.574762241411308E-3</v>
      </c>
      <c r="H7" s="36">
        <v>2.4510680320201619E-2</v>
      </c>
      <c r="I7" s="36">
        <v>0.02</v>
      </c>
      <c r="J7" s="36">
        <v>1.323397951969758E-2</v>
      </c>
      <c r="K7" s="37">
        <v>0.83</v>
      </c>
      <c r="L7" s="37">
        <v>3</v>
      </c>
    </row>
    <row r="8" spans="1:12" x14ac:dyDescent="0.4">
      <c r="A8" s="35" t="s">
        <v>57</v>
      </c>
      <c r="B8" s="36">
        <v>0.105</v>
      </c>
      <c r="C8" s="36">
        <v>8.5000000000000006E-2</v>
      </c>
      <c r="D8" s="36">
        <v>7.1467959039395151E-2</v>
      </c>
      <c r="E8" s="36">
        <v>0.19206408192120969</v>
      </c>
      <c r="F8" s="36">
        <v>0.16500000000000001</v>
      </c>
      <c r="G8" s="36">
        <v>0.13342523775858869</v>
      </c>
      <c r="H8" s="36">
        <v>3.4510680320201617E-2</v>
      </c>
      <c r="I8" s="36">
        <v>0.03</v>
      </c>
      <c r="J8" s="36">
        <v>2.3233979519697572E-2</v>
      </c>
      <c r="K8" s="37">
        <v>0.83</v>
      </c>
      <c r="L8" s="37">
        <v>3</v>
      </c>
    </row>
    <row r="9" spans="1:12" x14ac:dyDescent="0.4">
      <c r="A9" s="35" t="s">
        <v>58</v>
      </c>
      <c r="B9" s="36">
        <v>6.3532040960604858E-2</v>
      </c>
      <c r="C9" s="36">
        <v>0.05</v>
      </c>
      <c r="D9" s="36">
        <v>3.6467959039395148E-2</v>
      </c>
      <c r="E9" s="36">
        <v>0.16506408192120969</v>
      </c>
      <c r="F9" s="36">
        <v>0.13800000000000001</v>
      </c>
      <c r="G9" s="36">
        <v>0.123</v>
      </c>
      <c r="H9" s="36">
        <v>2.951068032020162E-2</v>
      </c>
      <c r="I9" s="36">
        <v>2.5000000000000001E-2</v>
      </c>
      <c r="J9" s="36">
        <v>1.8233979519697581E-2</v>
      </c>
      <c r="K9" s="37">
        <v>0.83</v>
      </c>
      <c r="L9" s="37">
        <v>3</v>
      </c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211</v>
      </c>
    </row>
    <row r="16" spans="1:12" x14ac:dyDescent="0.4">
      <c r="A16" s="22" t="s">
        <v>212</v>
      </c>
      <c r="B16" s="22" t="s">
        <v>213</v>
      </c>
      <c r="C16" s="22" t="s">
        <v>214</v>
      </c>
      <c r="D16" s="22" t="s">
        <v>215</v>
      </c>
      <c r="E16" s="22" t="s">
        <v>216</v>
      </c>
    </row>
    <row r="17" spans="1:5" x14ac:dyDescent="0.4">
      <c r="A17" s="4" t="s">
        <v>217</v>
      </c>
      <c r="B17" s="6">
        <f>'DCF Bull'!K122</f>
        <v>90.096557540740037</v>
      </c>
      <c r="C17" s="38">
        <v>0.2</v>
      </c>
      <c r="D17" s="27" t="s">
        <v>218</v>
      </c>
      <c r="E17" s="6">
        <f>MAX(B17,0)</f>
        <v>90.096557540740037</v>
      </c>
    </row>
    <row r="18" spans="1:5" x14ac:dyDescent="0.4">
      <c r="A18" s="4" t="s">
        <v>219</v>
      </c>
      <c r="B18" s="6">
        <f>'DCF Base'!K122</f>
        <v>58.537952102971246</v>
      </c>
      <c r="C18" s="38">
        <v>0.65</v>
      </c>
      <c r="D18" s="27" t="s">
        <v>220</v>
      </c>
      <c r="E18" s="6">
        <f>MAX(B18,0)</f>
        <v>58.537952102971246</v>
      </c>
    </row>
    <row r="19" spans="1:5" x14ac:dyDescent="0.4">
      <c r="A19" s="4" t="s">
        <v>221</v>
      </c>
      <c r="B19" s="6">
        <f>'DCF Bear'!K122</f>
        <v>36.142611285692709</v>
      </c>
      <c r="C19" s="38">
        <v>0.15</v>
      </c>
      <c r="D19" s="27" t="s">
        <v>222</v>
      </c>
      <c r="E19" s="6">
        <f>MAX(B19,0)</f>
        <v>36.142611285692709</v>
      </c>
    </row>
    <row r="20" spans="1:5" x14ac:dyDescent="0.4">
      <c r="A20" s="2" t="s">
        <v>223</v>
      </c>
    </row>
    <row r="21" spans="1:5" ht="15.9" customHeight="1" x14ac:dyDescent="0.45">
      <c r="A21" s="19" t="s">
        <v>224</v>
      </c>
      <c r="B21" s="21">
        <f>MAX(0,B17*C17+B18*C18+B19*C19)</f>
        <v>61.49037206793323</v>
      </c>
      <c r="D21" s="2" t="s">
        <v>225</v>
      </c>
      <c r="E21" s="6">
        <f>B17*C17+B18*C18+B19*C19</f>
        <v>61.49037206793323</v>
      </c>
    </row>
    <row r="22" spans="1:5" x14ac:dyDescent="0.4">
      <c r="A22" s="2" t="s">
        <v>226</v>
      </c>
      <c r="B22" s="39" t="s">
        <v>227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4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228</v>
      </c>
    </row>
    <row r="2" spans="1:5" x14ac:dyDescent="0.4">
      <c r="A2" s="2" t="s">
        <v>229</v>
      </c>
    </row>
    <row r="4" spans="1:5" x14ac:dyDescent="0.4">
      <c r="A4" s="4" t="s">
        <v>230</v>
      </c>
      <c r="B4" s="40">
        <v>35.67</v>
      </c>
    </row>
    <row r="5" spans="1:5" x14ac:dyDescent="0.4">
      <c r="A5" s="4" t="s">
        <v>231</v>
      </c>
      <c r="B5" s="40">
        <v>61.49</v>
      </c>
    </row>
    <row r="6" spans="1:5" x14ac:dyDescent="0.4">
      <c r="A6" s="4" t="s">
        <v>232</v>
      </c>
      <c r="B6" s="29">
        <f>(B5-B4)/B4</f>
        <v>0.72385758340342021</v>
      </c>
    </row>
    <row r="7" spans="1:5" x14ac:dyDescent="0.4">
      <c r="A7" s="4" t="s">
        <v>233</v>
      </c>
      <c r="B7" s="41" t="s">
        <v>234</v>
      </c>
    </row>
    <row r="9" spans="1:5" x14ac:dyDescent="0.4">
      <c r="B9" s="31" t="s">
        <v>219</v>
      </c>
      <c r="C9" s="31" t="s">
        <v>235</v>
      </c>
      <c r="D9" s="31" t="s">
        <v>236</v>
      </c>
      <c r="E9" s="31" t="s">
        <v>237</v>
      </c>
    </row>
    <row r="10" spans="1:5" x14ac:dyDescent="0.4">
      <c r="A10" t="s">
        <v>238</v>
      </c>
      <c r="B10" s="42">
        <v>23738</v>
      </c>
      <c r="C10" s="6">
        <f>B10</f>
        <v>23738</v>
      </c>
      <c r="D10" s="6">
        <f>B10</f>
        <v>23738</v>
      </c>
      <c r="E10" s="6">
        <f t="shared" ref="E10:E15" si="0">B10</f>
        <v>23738</v>
      </c>
    </row>
    <row r="11" spans="1:5" x14ac:dyDescent="0.4">
      <c r="A11" t="s">
        <v>239</v>
      </c>
      <c r="B11" s="43">
        <v>5.3299983149380753E-2</v>
      </c>
      <c r="C11" s="44">
        <v>-1.0205078124999991E-2</v>
      </c>
      <c r="D11" s="11">
        <f>B11</f>
        <v>5.3299983149380753E-2</v>
      </c>
      <c r="E11" s="11">
        <f t="shared" si="0"/>
        <v>5.3299983149380753E-2</v>
      </c>
    </row>
    <row r="12" spans="1:5" x14ac:dyDescent="0.4">
      <c r="A12" t="s">
        <v>240</v>
      </c>
      <c r="B12" s="43">
        <v>0.15729374842025451</v>
      </c>
      <c r="C12" s="11">
        <f t="shared" ref="C12:C20" si="1">B12</f>
        <v>0.15729374842025451</v>
      </c>
      <c r="D12" s="11">
        <f>B12</f>
        <v>0.15729374842025451</v>
      </c>
      <c r="E12" s="11">
        <f t="shared" si="0"/>
        <v>0.15729374842025451</v>
      </c>
    </row>
    <row r="13" spans="1:5" x14ac:dyDescent="0.4">
      <c r="A13" t="s">
        <v>241</v>
      </c>
      <c r="B13" s="43">
        <v>0.1781691380908248</v>
      </c>
      <c r="C13" s="11">
        <f t="shared" si="1"/>
        <v>0.1781691380908248</v>
      </c>
      <c r="D13" s="44">
        <v>0.11942291259765631</v>
      </c>
      <c r="E13" s="11">
        <f t="shared" si="0"/>
        <v>0.1781691380908248</v>
      </c>
    </row>
    <row r="14" spans="1:5" x14ac:dyDescent="0.4">
      <c r="A14" t="s">
        <v>242</v>
      </c>
      <c r="B14" s="43">
        <v>6.8312410481085181E-3</v>
      </c>
      <c r="C14" s="11">
        <f t="shared" si="1"/>
        <v>6.8312410481085181E-3</v>
      </c>
      <c r="D14" s="11">
        <f t="shared" ref="D14:D20" si="2">B14</f>
        <v>6.8312410481085181E-3</v>
      </c>
      <c r="E14" s="11">
        <f t="shared" si="0"/>
        <v>6.8312410481085181E-3</v>
      </c>
    </row>
    <row r="15" spans="1:5" x14ac:dyDescent="0.4">
      <c r="A15" t="s">
        <v>73</v>
      </c>
      <c r="B15" s="43">
        <v>2.772053247956862E-2</v>
      </c>
      <c r="C15" s="11">
        <f t="shared" si="1"/>
        <v>2.772053247956862E-2</v>
      </c>
      <c r="D15" s="11">
        <f t="shared" si="2"/>
        <v>2.772053247956862E-2</v>
      </c>
      <c r="E15" s="11">
        <f t="shared" si="0"/>
        <v>2.772053247956862E-2</v>
      </c>
    </row>
    <row r="16" spans="1:5" x14ac:dyDescent="0.4">
      <c r="A16" t="s">
        <v>243</v>
      </c>
      <c r="B16" s="43">
        <v>6.8164649484560358E-2</v>
      </c>
      <c r="C16" s="11">
        <f t="shared" si="1"/>
        <v>6.8164649484560358E-2</v>
      </c>
      <c r="D16" s="11">
        <f t="shared" si="2"/>
        <v>6.8164649484560358E-2</v>
      </c>
      <c r="E16" s="44">
        <v>8.6689453124999996E-2</v>
      </c>
    </row>
    <row r="17" spans="1:5" x14ac:dyDescent="0.4">
      <c r="A17" t="s">
        <v>244</v>
      </c>
      <c r="B17" s="43">
        <v>0.24</v>
      </c>
      <c r="C17" s="11">
        <f t="shared" si="1"/>
        <v>0.24</v>
      </c>
      <c r="D17" s="11">
        <f t="shared" si="2"/>
        <v>0.24</v>
      </c>
      <c r="E17" s="11">
        <f>B17</f>
        <v>0.24</v>
      </c>
    </row>
    <row r="18" spans="1:5" x14ac:dyDescent="0.4">
      <c r="A18" t="s">
        <v>245</v>
      </c>
      <c r="B18" s="42">
        <v>-8459.6</v>
      </c>
      <c r="C18" s="6">
        <f t="shared" si="1"/>
        <v>-8459.6</v>
      </c>
      <c r="D18" s="6">
        <f t="shared" si="2"/>
        <v>-8459.6</v>
      </c>
      <c r="E18" s="6">
        <f>B18</f>
        <v>-8459.6</v>
      </c>
    </row>
    <row r="19" spans="1:5" x14ac:dyDescent="0.4">
      <c r="A19" t="s">
        <v>246</v>
      </c>
      <c r="B19" s="42">
        <v>-12410.2</v>
      </c>
      <c r="C19" s="6">
        <f t="shared" si="1"/>
        <v>-12410.2</v>
      </c>
      <c r="D19" s="6">
        <f t="shared" si="2"/>
        <v>-12410.2</v>
      </c>
      <c r="E19" s="6">
        <f>B19</f>
        <v>-12410.2</v>
      </c>
    </row>
    <row r="20" spans="1:5" x14ac:dyDescent="0.4">
      <c r="A20" t="s">
        <v>247</v>
      </c>
      <c r="B20" s="40">
        <v>1117</v>
      </c>
      <c r="C20" s="6">
        <f t="shared" si="1"/>
        <v>1117</v>
      </c>
      <c r="D20" s="6">
        <f t="shared" si="2"/>
        <v>1117</v>
      </c>
      <c r="E20" s="6">
        <f>B20</f>
        <v>1117</v>
      </c>
    </row>
    <row r="22" spans="1:5" x14ac:dyDescent="0.4">
      <c r="A22" t="s">
        <v>248</v>
      </c>
      <c r="B22" s="6">
        <f>B10*(1+B11)^1</f>
        <v>25003.235000000001</v>
      </c>
      <c r="C22" s="6">
        <f>C10*(1+C11)^1</f>
        <v>23495.751855468749</v>
      </c>
      <c r="D22" s="6">
        <f>D10*(1+D11)^1</f>
        <v>25003.235000000001</v>
      </c>
      <c r="E22" s="6">
        <f>E10*(1+E11)^1</f>
        <v>25003.235000000001</v>
      </c>
    </row>
    <row r="23" spans="1:5" x14ac:dyDescent="0.4">
      <c r="A23" t="s">
        <v>249</v>
      </c>
      <c r="B23" s="6">
        <f>B10*(1+B11)^2</f>
        <v>26335.907004180008</v>
      </c>
      <c r="C23" s="6">
        <f>C10*(1+C11)^2</f>
        <v>23255.975872178074</v>
      </c>
      <c r="D23" s="6">
        <f>D10*(1+D11)^2</f>
        <v>26335.907004180008</v>
      </c>
      <c r="E23" s="6">
        <f>E10*(1+E11)^2</f>
        <v>26335.907004180008</v>
      </c>
    </row>
    <row r="24" spans="1:5" x14ac:dyDescent="0.4">
      <c r="A24" t="s">
        <v>250</v>
      </c>
      <c r="B24" s="6">
        <f>B10*(1+B11)^3</f>
        <v>27739.610403726463</v>
      </c>
      <c r="C24" s="6">
        <f>C10*(1+C11)^3</f>
        <v>23018.646821529383</v>
      </c>
      <c r="D24" s="6">
        <f>D10*(1+D11)^3</f>
        <v>27739.610403726463</v>
      </c>
      <c r="E24" s="6">
        <f>E10*(1+E11)^3</f>
        <v>27739.610403726463</v>
      </c>
    </row>
    <row r="25" spans="1:5" x14ac:dyDescent="0.4">
      <c r="A25" t="s">
        <v>251</v>
      </c>
      <c r="B25" s="6">
        <f>B10*(1+B11)^4</f>
        <v>29218.131170815472</v>
      </c>
      <c r="C25" s="6">
        <f>C10*(1+C11)^4</f>
        <v>22783.739732383892</v>
      </c>
      <c r="D25" s="6">
        <f>D10*(1+D11)^4</f>
        <v>29218.131170815472</v>
      </c>
      <c r="E25" s="6">
        <f>E10*(1+E11)^4</f>
        <v>29218.131170815472</v>
      </c>
    </row>
    <row r="26" spans="1:5" x14ac:dyDescent="0.4">
      <c r="A26" t="s">
        <v>252</v>
      </c>
      <c r="B26" s="6">
        <f>B10*(1+B11)^5</f>
        <v>30775.457069876331</v>
      </c>
      <c r="C26" s="6">
        <f>C10*(1+C11)^5</f>
        <v>22551.229888435246</v>
      </c>
      <c r="D26" s="6">
        <f>D10*(1+D11)^5</f>
        <v>30775.457069876331</v>
      </c>
      <c r="E26" s="6">
        <f>E10*(1+E11)^5</f>
        <v>30775.457069876331</v>
      </c>
    </row>
    <row r="27" spans="1:5" x14ac:dyDescent="0.4">
      <c r="A27" t="s">
        <v>253</v>
      </c>
      <c r="B27" s="6">
        <f>B26*(1+(B11+(B15-B11)*1/5))</f>
        <v>32258.344555923264</v>
      </c>
      <c r="C27" s="6">
        <f>C26*(1+(C11+(C15-C11)*1/5))</f>
        <v>22492.146658289512</v>
      </c>
      <c r="D27" s="6">
        <f>D26*(1+(D11+(D15-D11)*1/5))</f>
        <v>32258.344555923264</v>
      </c>
      <c r="E27" s="6">
        <f>E26*(1+(E11+(E15-E11)*1/5))</f>
        <v>32258.344555923264</v>
      </c>
    </row>
    <row r="28" spans="1:5" x14ac:dyDescent="0.4">
      <c r="A28" t="s">
        <v>254</v>
      </c>
      <c r="B28" s="6">
        <f>B27*(1+(B11+(B15-B11)*2/5))</f>
        <v>33647.653483877679</v>
      </c>
      <c r="C28" s="6">
        <f>C27*(1+(C11+(C15-C11)*2/5))</f>
        <v>22603.823902771965</v>
      </c>
      <c r="D28" s="6">
        <f>D27*(1+(D11+(D15-D11)*2/5))</f>
        <v>33647.653483877679</v>
      </c>
      <c r="E28" s="6">
        <f>E27*(1+(E11+(E15-E11)*2/5))</f>
        <v>33647.653483877679</v>
      </c>
    </row>
    <row r="29" spans="1:5" x14ac:dyDescent="0.4">
      <c r="A29" t="s">
        <v>255</v>
      </c>
      <c r="B29" s="6">
        <f>B28*(1+(B11+(B15-B11)*3/5))</f>
        <v>34924.659752117092</v>
      </c>
      <c r="C29" s="6">
        <f>C28*(1+(C11+(C15-C11)*3/5))</f>
        <v>22887.508408026893</v>
      </c>
      <c r="D29" s="6">
        <f>D28*(1+(D11+(D15-D11)*3/5))</f>
        <v>34924.659752117092</v>
      </c>
      <c r="E29" s="6">
        <f>E28*(1+(E11+(E15-E11)*3/5))</f>
        <v>34924.659752117092</v>
      </c>
    </row>
    <row r="30" spans="1:5" x14ac:dyDescent="0.4">
      <c r="A30" t="s">
        <v>256</v>
      </c>
      <c r="B30" s="6">
        <f>B29*(1+(B11+(B15-B11)*4/5))</f>
        <v>36071.460639371391</v>
      </c>
      <c r="C30" s="6">
        <f>C29*(1+(C11+(C15-C11)*4/5))</f>
        <v>23348.357781909679</v>
      </c>
      <c r="D30" s="6">
        <f>D29*(1+(D11+(D15-D11)*4/5))</f>
        <v>36071.460639371391</v>
      </c>
      <c r="E30" s="6">
        <f>E29*(1+(E11+(E15-E11)*4/5))</f>
        <v>36071.460639371391</v>
      </c>
    </row>
    <row r="31" spans="1:5" x14ac:dyDescent="0.4">
      <c r="A31" t="s">
        <v>257</v>
      </c>
      <c r="B31" s="6">
        <f>B30*(1+(B11+(B15-B11)*5/5))</f>
        <v>37071.380735610568</v>
      </c>
      <c r="C31" s="6">
        <f>C30*(1+(C11+(C15-C11)*5/5))</f>
        <v>23995.586692147695</v>
      </c>
      <c r="D31" s="6">
        <f>D30*(1+(D11+(D15-D11)*5/5))</f>
        <v>37071.380735610568</v>
      </c>
      <c r="E31" s="6">
        <f>E30*(1+(E11+(E15-E11)*5/5))</f>
        <v>37071.380735610568</v>
      </c>
    </row>
    <row r="33" spans="1:5" x14ac:dyDescent="0.4">
      <c r="A33" t="s">
        <v>258</v>
      </c>
      <c r="B33" s="6">
        <f>B22*(B12+(B13-B12)*0/4)*(1-B17)-B22*B14</f>
        <v>2818.1648171271981</v>
      </c>
      <c r="C33" s="6">
        <f>C22*(C12+(C13-C12)*0/4)*(1-C17)-C22*C14</f>
        <v>2648.25336525586</v>
      </c>
      <c r="D33" s="6">
        <f>D22*(D12+(D13-D12)*0/4)*(1-D17)-D22*D14</f>
        <v>2818.1648171271981</v>
      </c>
      <c r="E33" s="6">
        <f>E22*(E12+(E13-E12)*0/4)*(1-E17)-E22*E14</f>
        <v>2818.1648171271981</v>
      </c>
    </row>
    <row r="34" spans="1:5" x14ac:dyDescent="0.4">
      <c r="A34" t="s">
        <v>259</v>
      </c>
      <c r="B34" s="6">
        <f>B23*(B12+(B13-B12)*1/4)*(1-B17)-B23*B14</f>
        <v>3072.8296953898857</v>
      </c>
      <c r="C34" s="6">
        <f>C23*(C12+(C13-C12)*1/4)*(1-C17)-C23*C14</f>
        <v>2713.4684688838383</v>
      </c>
      <c r="D34" s="6">
        <f>D23*(D12+(D13-D12)*1/4)*(1-D17)-D23*D14</f>
        <v>2778.8740204172977</v>
      </c>
      <c r="E34" s="6">
        <f>E23*(E12+(E13-E12)*1/4)*(1-E17)-E23*E14</f>
        <v>3072.8296953898857</v>
      </c>
    </row>
    <row r="35" spans="1:5" x14ac:dyDescent="0.4">
      <c r="A35" t="s">
        <v>260</v>
      </c>
      <c r="B35" s="6">
        <f>B24*(B12+(B13-B12)*2/4)*(1-B17)-B24*B14</f>
        <v>3346.6357499077271</v>
      </c>
      <c r="C35" s="6">
        <f>C24*(C12+(C13-C12)*2/4)*(1-C17)-C24*C14</f>
        <v>2777.0767233660004</v>
      </c>
      <c r="D35" s="6">
        <f>D24*(D12+(D13-D12)*2/4)*(1-D17)-D24*D14</f>
        <v>2727.3887349171428</v>
      </c>
      <c r="E35" s="6">
        <f>E24*(E12+(E13-E12)*2/4)*(1-E17)-E24*E14</f>
        <v>3346.6357499077271</v>
      </c>
    </row>
    <row r="36" spans="1:5" x14ac:dyDescent="0.4">
      <c r="A36" t="s">
        <v>261</v>
      </c>
      <c r="B36" s="6">
        <f>B25*(B12+(B13-B12)*3/4)*(1-B17)-B25*B14</f>
        <v>3640.8999549758801</v>
      </c>
      <c r="C36" s="6">
        <f>C25*(C12+(C13-C12)*3/4)*(1-C17)-C25*C14</f>
        <v>2839.1041330075418</v>
      </c>
      <c r="D36" s="6">
        <f>D25*(D12+(D13-D12)*3/4)*(1-D17)-D25*D14</f>
        <v>2662.5206492935504</v>
      </c>
      <c r="E36" s="6">
        <f>E25*(E12+(E13-E12)*3/4)*(1-E17)-E25*E14</f>
        <v>3640.8999549758801</v>
      </c>
    </row>
    <row r="37" spans="1:5" x14ac:dyDescent="0.4">
      <c r="A37" t="s">
        <v>262</v>
      </c>
      <c r="B37" s="6">
        <f>B26*(B12+(B13-B12)*4/4)*(1-B17)-B26*B14</f>
        <v>3957.0252963631547</v>
      </c>
      <c r="C37" s="6">
        <f>C26*(C12+(C13-C12)*4/4)*(1-C17)-C26*C14</f>
        <v>2899.5763387048114</v>
      </c>
      <c r="D37" s="6">
        <f>D26*(D12+(D13-D12)*4/4)*(1-D17)-D26*D14</f>
        <v>2582.9894214446208</v>
      </c>
      <c r="E37" s="6">
        <f>E26*(E12+(E13-E12)*4/4)*(1-E17)-E26*E14</f>
        <v>3957.0252963631547</v>
      </c>
    </row>
    <row r="38" spans="1:5" x14ac:dyDescent="0.4">
      <c r="A38" t="s">
        <v>263</v>
      </c>
      <c r="B38" s="6">
        <f>B27*B13*(1-B17)-B27*B14</f>
        <v>4147.6909713074792</v>
      </c>
      <c r="C38" s="6">
        <f>C27*C13*(1-C17)-C27*C14</f>
        <v>2891.9795762669155</v>
      </c>
      <c r="D38" s="6">
        <f>D27*D13*(1-D17)-D27*D14</f>
        <v>2707.4484239853496</v>
      </c>
      <c r="E38" s="6">
        <f>E27*E13*(1-E17)-E27*E14</f>
        <v>4147.6909713074792</v>
      </c>
    </row>
    <row r="39" spans="1:5" x14ac:dyDescent="0.4">
      <c r="A39" t="s">
        <v>264</v>
      </c>
      <c r="B39" s="6">
        <f>B28*B13*(1-B17)-B28*B14</f>
        <v>4326.3245675493336</v>
      </c>
      <c r="C39" s="6">
        <f>C28*C13*(1-C17)-C28*C14</f>
        <v>2906.3387352695527</v>
      </c>
      <c r="D39" s="6">
        <f>D28*D13*(1-D17)-D28*D14</f>
        <v>2824.053362000629</v>
      </c>
      <c r="E39" s="6">
        <f>E28*E13*(1-E17)-E28*E14</f>
        <v>4326.3245675493336</v>
      </c>
    </row>
    <row r="40" spans="1:5" x14ac:dyDescent="0.4">
      <c r="A40" t="s">
        <v>265</v>
      </c>
      <c r="B40" s="6">
        <f>B29*B13*(1-B17)-B29*B14</f>
        <v>4490.5185905841299</v>
      </c>
      <c r="C40" s="6">
        <f>C29*C13*(1-C17)-C29*C14</f>
        <v>2942.8141241136973</v>
      </c>
      <c r="D40" s="6">
        <f>D29*D13*(1-D17)-D29*D14</f>
        <v>2931.2327184108872</v>
      </c>
      <c r="E40" s="6">
        <f>E29*E13*(1-E17)-E29*E14</f>
        <v>4490.5185905841299</v>
      </c>
    </row>
    <row r="41" spans="1:5" x14ac:dyDescent="0.4">
      <c r="A41" t="s">
        <v>266</v>
      </c>
      <c r="B41" s="6">
        <f>B30*B13*(1-B17)-B30*B14</f>
        <v>4637.9711567784689</v>
      </c>
      <c r="C41" s="6">
        <f>C30*C13*(1-C17)-C30*C14</f>
        <v>3002.0688941119724</v>
      </c>
      <c r="D41" s="6">
        <f>D30*D13*(1-D17)-D30*D14</f>
        <v>3027.4839147312368</v>
      </c>
      <c r="E41" s="6">
        <f>E30*E13*(1-E17)-E30*E14</f>
        <v>4637.9711567784689</v>
      </c>
    </row>
    <row r="42" spans="1:5" x14ac:dyDescent="0.4">
      <c r="A42" t="s">
        <v>267</v>
      </c>
      <c r="B42" s="6">
        <f>B31*B13*(1-B17)-B31*B14</f>
        <v>4766.5381868692493</v>
      </c>
      <c r="C42" s="6">
        <f>C31*C13*(1-C17)-C31*C14</f>
        <v>3085.2878423971056</v>
      </c>
      <c r="D42" s="6">
        <f>D31*D13*(1-D17)-D31*D14</f>
        <v>3111.4073809209158</v>
      </c>
      <c r="E42" s="6">
        <f>E31*E13*(1-E17)-E31*E14</f>
        <v>4766.5381868692493</v>
      </c>
    </row>
    <row r="44" spans="1:5" x14ac:dyDescent="0.4">
      <c r="A44" t="s">
        <v>124</v>
      </c>
      <c r="B44" s="6">
        <f>B33/(1+B16)^1</f>
        <v>2638.3243617798953</v>
      </c>
      <c r="C44" s="6">
        <f>C33/(1+C16)^1</f>
        <v>2479.2557650487374</v>
      </c>
      <c r="D44" s="6">
        <f>D33/(1+D16)^1</f>
        <v>2638.3243617798953</v>
      </c>
      <c r="E44" s="6">
        <f>E33/(1+E16)^1</f>
        <v>2593.3488256677037</v>
      </c>
    </row>
    <row r="45" spans="1:5" x14ac:dyDescent="0.4">
      <c r="A45" t="s">
        <v>125</v>
      </c>
      <c r="B45" s="6">
        <f>B34/(1+B16)^2</f>
        <v>2693.1595877220952</v>
      </c>
      <c r="C45" s="6">
        <f>C34/(1+C16)^2</f>
        <v>2378.2000134663749</v>
      </c>
      <c r="D45" s="6">
        <f>D34/(1+D16)^2</f>
        <v>2435.5242408607078</v>
      </c>
      <c r="E45" s="6">
        <f>E34/(1+E16)^2</f>
        <v>2602.1215959033389</v>
      </c>
    </row>
    <row r="46" spans="1:5" x14ac:dyDescent="0.4">
      <c r="A46" t="s">
        <v>126</v>
      </c>
      <c r="B46" s="6">
        <f>B35/(1+B16)^3</f>
        <v>2745.9576998781481</v>
      </c>
      <c r="C46" s="6">
        <f>C35/(1+C16)^3</f>
        <v>2278.6271890777184</v>
      </c>
      <c r="D46" s="6">
        <f>D35/(1+D16)^3</f>
        <v>2237.8575551322378</v>
      </c>
      <c r="E46" s="6">
        <f>E35/(1+E16)^3</f>
        <v>2607.9069391986163</v>
      </c>
    </row>
    <row r="47" spans="1:5" x14ac:dyDescent="0.4">
      <c r="A47" t="s">
        <v>127</v>
      </c>
      <c r="B47" s="6">
        <f>B36/(1+B16)^4</f>
        <v>2796.7647762879074</v>
      </c>
      <c r="C47" s="6">
        <f>C36/(1+C16)^4</f>
        <v>2180.8636693126364</v>
      </c>
      <c r="D47" s="6">
        <f>D36/(1+D16)^4</f>
        <v>2045.2207037182216</v>
      </c>
      <c r="E47" s="6">
        <f>E36/(1+E16)^4</f>
        <v>2610.8801559037502</v>
      </c>
    </row>
    <row r="48" spans="1:5" x14ac:dyDescent="0.4">
      <c r="A48" t="s">
        <v>128</v>
      </c>
      <c r="B48" s="6">
        <f>B37/(1+B16)^5</f>
        <v>2845.6260070417143</v>
      </c>
      <c r="C48" s="6">
        <f>C37/(1+C16)^5</f>
        <v>2085.179957379773</v>
      </c>
      <c r="D48" s="6">
        <f>D37/(1+D16)^5</f>
        <v>1857.5119750515439</v>
      </c>
      <c r="E48" s="6">
        <f>E37/(1+E16)^5</f>
        <v>2611.2085942260783</v>
      </c>
    </row>
    <row r="49" spans="1:5" x14ac:dyDescent="0.4">
      <c r="A49" t="s">
        <v>160</v>
      </c>
      <c r="B49" s="6">
        <f>B38/(1+B16)^6</f>
        <v>2792.3971427920005</v>
      </c>
      <c r="C49" s="6">
        <f>C38/(1+C16)^6</f>
        <v>1947.0002856155149</v>
      </c>
      <c r="D49" s="6">
        <f>D38/(1+D16)^6</f>
        <v>1822.7662802492168</v>
      </c>
      <c r="E49" s="6">
        <f>E38/(1+E16)^6</f>
        <v>2518.6839755755791</v>
      </c>
    </row>
    <row r="50" spans="1:5" x14ac:dyDescent="0.4">
      <c r="A50" t="s">
        <v>161</v>
      </c>
      <c r="B50" s="6">
        <f>B39/(1+B16)^7</f>
        <v>2726.7899858592591</v>
      </c>
      <c r="C50" s="6">
        <f>C39/(1+C16)^7</f>
        <v>1831.8032397040013</v>
      </c>
      <c r="D50" s="6">
        <f>D39/(1+D16)^7</f>
        <v>1779.9405261444658</v>
      </c>
      <c r="E50" s="6">
        <f>E39/(1+E16)^7</f>
        <v>2417.5804416569995</v>
      </c>
    </row>
    <row r="51" spans="1:5" x14ac:dyDescent="0.4">
      <c r="A51" t="s">
        <v>162</v>
      </c>
      <c r="B51" s="6">
        <f>B40/(1+B16)^8</f>
        <v>2649.6645190093736</v>
      </c>
      <c r="C51" s="6">
        <f>C40/(1+C16)^8</f>
        <v>1736.429771620077</v>
      </c>
      <c r="D51" s="6">
        <f>D40/(1+D16)^8</f>
        <v>1729.5960754328851</v>
      </c>
      <c r="E51" s="6">
        <f>E40/(1+E16)^8</f>
        <v>2309.153920151597</v>
      </c>
    </row>
    <row r="52" spans="1:5" x14ac:dyDescent="0.4">
      <c r="A52" t="s">
        <v>163</v>
      </c>
      <c r="B52" s="6">
        <f>B41/(1+B16)^9</f>
        <v>2562.0301367024422</v>
      </c>
      <c r="C52" s="6">
        <f>C41/(1+C16)^9</f>
        <v>1658.3524819749591</v>
      </c>
      <c r="D52" s="6">
        <f>D41/(1+D16)^9</f>
        <v>1672.3918208475832</v>
      </c>
      <c r="E52" s="6">
        <f>E41/(1+E16)^9</f>
        <v>2194.7192616021898</v>
      </c>
    </row>
    <row r="53" spans="1:5" x14ac:dyDescent="0.4">
      <c r="A53" t="s">
        <v>164</v>
      </c>
      <c r="B53" s="6">
        <f>B42/(1+B16)^10</f>
        <v>2465.0235126121306</v>
      </c>
      <c r="C53" s="6">
        <f>C42/(1+C16)^10</f>
        <v>1595.561973181321</v>
      </c>
      <c r="D53" s="6">
        <f>D42/(1+D16)^10</f>
        <v>1609.0697379522269</v>
      </c>
      <c r="E53" s="6">
        <f>E42/(1+E16)^10</f>
        <v>2075.6233914764193</v>
      </c>
    </row>
    <row r="54" spans="1:5" x14ac:dyDescent="0.4">
      <c r="A54" t="s">
        <v>166</v>
      </c>
      <c r="B54" s="6">
        <f>SUM(B44:B53)</f>
        <v>26915.737729684963</v>
      </c>
      <c r="C54" s="6">
        <f>SUM(C44:C53)</f>
        <v>20171.274346381113</v>
      </c>
      <c r="D54" s="6">
        <f>SUM(D44:D53)</f>
        <v>19828.203277168985</v>
      </c>
      <c r="E54" s="6">
        <f>SUM(E44:E53)</f>
        <v>24541.227101362274</v>
      </c>
    </row>
    <row r="55" spans="1:5" x14ac:dyDescent="0.4">
      <c r="A55" t="s">
        <v>167</v>
      </c>
      <c r="B55" s="6">
        <f>B42*(1+B15)/MAX(B16-B15,0.01)</f>
        <v>121121.92146236876</v>
      </c>
      <c r="C55" s="6">
        <f>C42*(1+C15)/MAX(C16-C15,0.01)</f>
        <v>78399.873678778575</v>
      </c>
      <c r="D55" s="6">
        <f>D42*(1+D15)/MAX(D16-D15,0.01)</f>
        <v>79063.594091725099</v>
      </c>
      <c r="E55" s="6">
        <f>E42*(1+E15)/MAX(E16-E15,0.01)</f>
        <v>83072.050664590002</v>
      </c>
    </row>
    <row r="56" spans="1:5" x14ac:dyDescent="0.4">
      <c r="A56" t="s">
        <v>168</v>
      </c>
      <c r="B56" s="6">
        <f>B55/(1+B16)^10</f>
        <v>62638.412321963187</v>
      </c>
      <c r="C56" s="6">
        <f>C55/(1+C16)^10</f>
        <v>40544.631014683051</v>
      </c>
      <c r="D56" s="6">
        <f>D55/(1+D16)^10</f>
        <v>40887.875180484742</v>
      </c>
      <c r="E56" s="6">
        <f>E55/(1+E16)^10</f>
        <v>36174.3229105629</v>
      </c>
    </row>
    <row r="57" spans="1:5" x14ac:dyDescent="0.4">
      <c r="A57" t="s">
        <v>268</v>
      </c>
      <c r="B57" s="6">
        <f>B54+B56</f>
        <v>89554.150051648146</v>
      </c>
      <c r="C57" s="6">
        <f>C54+C56</f>
        <v>60715.905361064164</v>
      </c>
      <c r="D57" s="6">
        <f>D54+D56</f>
        <v>60716.078457653726</v>
      </c>
      <c r="E57" s="6">
        <f>E54+E56</f>
        <v>60715.550011925174</v>
      </c>
    </row>
    <row r="58" spans="1:5" x14ac:dyDescent="0.4">
      <c r="A58" t="s">
        <v>269</v>
      </c>
      <c r="B58" s="6">
        <f>B57+B18+B19</f>
        <v>68684.350051648144</v>
      </c>
      <c r="C58" s="6">
        <f>C57+C18+C19</f>
        <v>39846.105361064168</v>
      </c>
      <c r="D58" s="6">
        <f>D57+D18+D19</f>
        <v>39846.278457653723</v>
      </c>
      <c r="E58" s="6">
        <f>E57+E18+E19</f>
        <v>39845.750011925178</v>
      </c>
    </row>
    <row r="59" spans="1:5" x14ac:dyDescent="0.4">
      <c r="A59" s="4" t="s">
        <v>270</v>
      </c>
      <c r="B59" s="32">
        <f>B58/B20</f>
        <v>61.490017951341223</v>
      </c>
      <c r="C59" s="32">
        <f>C58/C20</f>
        <v>35.672430940970607</v>
      </c>
      <c r="D59" s="32">
        <f>D58/D20</f>
        <v>35.672585906583457</v>
      </c>
      <c r="E59" s="32">
        <f>E58/E20</f>
        <v>35.672112812824686</v>
      </c>
    </row>
    <row r="60" spans="1:5" x14ac:dyDescent="0.4">
      <c r="A60" t="s">
        <v>271</v>
      </c>
      <c r="B60" s="6">
        <f>B59-B5</f>
        <v>1.7951341220623362E-5</v>
      </c>
      <c r="C60" s="6">
        <f>C59-B4</f>
        <v>2.4309409706049223E-3</v>
      </c>
      <c r="D60" s="6">
        <f>D59-B4</f>
        <v>2.5859065834552553E-3</v>
      </c>
      <c r="E60" s="6">
        <f>E59-B4</f>
        <v>2.1128128246843403E-3</v>
      </c>
    </row>
    <row r="62" spans="1:5" x14ac:dyDescent="0.4">
      <c r="A62" s="3" t="s">
        <v>272</v>
      </c>
    </row>
    <row r="63" spans="1:5" x14ac:dyDescent="0.4">
      <c r="A63" t="s">
        <v>273</v>
      </c>
      <c r="B63" s="45">
        <v>2.4140000000000001</v>
      </c>
    </row>
    <row r="64" spans="1:5" x14ac:dyDescent="0.4">
      <c r="A64" t="s">
        <v>274</v>
      </c>
      <c r="B64" s="46">
        <v>14.215999999999999</v>
      </c>
    </row>
    <row r="65" spans="1:3" x14ac:dyDescent="0.4">
      <c r="A65" t="s">
        <v>275</v>
      </c>
      <c r="B65" s="47">
        <v>19.908601999999998</v>
      </c>
    </row>
    <row r="66" spans="1:3" x14ac:dyDescent="0.4">
      <c r="A66" t="s">
        <v>276</v>
      </c>
      <c r="B66" s="47">
        <v>15.034998999999999</v>
      </c>
    </row>
    <row r="67" spans="1:3" x14ac:dyDescent="0.4">
      <c r="A67" t="s">
        <v>277</v>
      </c>
      <c r="B67" s="47">
        <v>2.2862258</v>
      </c>
    </row>
    <row r="69" spans="1:3" x14ac:dyDescent="0.4">
      <c r="A69" s="4" t="s">
        <v>278</v>
      </c>
      <c r="B69" s="2" t="s">
        <v>279</v>
      </c>
      <c r="C69" s="2" t="s">
        <v>280</v>
      </c>
    </row>
    <row r="70" spans="1:3" x14ac:dyDescent="0.4">
      <c r="B70" s="48">
        <v>2024</v>
      </c>
      <c r="C70" s="49">
        <v>2.65</v>
      </c>
    </row>
    <row r="71" spans="1:3" x14ac:dyDescent="0.4">
      <c r="B71" s="48">
        <v>2023</v>
      </c>
      <c r="C71" s="49">
        <v>2.4500000000000002</v>
      </c>
    </row>
    <row r="72" spans="1:3" x14ac:dyDescent="0.4">
      <c r="B72" s="48">
        <v>2022</v>
      </c>
      <c r="C72" s="49">
        <v>2.2599999999999998</v>
      </c>
    </row>
    <row r="73" spans="1:3" x14ac:dyDescent="0.4">
      <c r="B73" s="48">
        <v>2021</v>
      </c>
      <c r="C73" s="49">
        <v>3.53</v>
      </c>
    </row>
    <row r="77" spans="1:3" x14ac:dyDescent="0.4">
      <c r="A77" s="3" t="s">
        <v>281</v>
      </c>
    </row>
    <row r="79" spans="1:3" x14ac:dyDescent="0.4">
      <c r="A79" t="s">
        <v>282</v>
      </c>
      <c r="B79" s="50">
        <v>54073</v>
      </c>
    </row>
    <row r="80" spans="1:3" x14ac:dyDescent="0.4">
      <c r="A80" t="s">
        <v>283</v>
      </c>
      <c r="B80" s="50">
        <v>82911</v>
      </c>
    </row>
    <row r="81" spans="1:2" x14ac:dyDescent="0.4">
      <c r="A81" t="s">
        <v>284</v>
      </c>
      <c r="B81" s="50">
        <v>3804</v>
      </c>
    </row>
    <row r="82" spans="1:2" x14ac:dyDescent="0.4">
      <c r="A82" t="s">
        <v>285</v>
      </c>
      <c r="B82" s="50">
        <v>5203</v>
      </c>
    </row>
    <row r="83" spans="1:2" x14ac:dyDescent="0.4">
      <c r="A83" s="4" t="s">
        <v>286</v>
      </c>
      <c r="B83" s="33">
        <f>IF(B81&gt;0,B79/B81,"")</f>
        <v>14.214773922187172</v>
      </c>
    </row>
    <row r="84" spans="1:2" x14ac:dyDescent="0.4">
      <c r="A84" s="4" t="s">
        <v>287</v>
      </c>
      <c r="B84" s="33">
        <f>IF(B81&gt;0,B80/B81,"")</f>
        <v>21.795741324921135</v>
      </c>
    </row>
    <row r="85" spans="1:2" x14ac:dyDescent="0.4">
      <c r="A85" s="4" t="s">
        <v>288</v>
      </c>
      <c r="B85" s="33">
        <f>IF(B82&gt;0,B79/B82,"")</f>
        <v>10.39265808187584</v>
      </c>
    </row>
    <row r="86" spans="1:2" x14ac:dyDescent="0.4">
      <c r="A86" s="4" t="s">
        <v>289</v>
      </c>
      <c r="B86" s="33">
        <f>IF(B82&gt;0,B80/B82,"")</f>
        <v>15.935229675187392</v>
      </c>
    </row>
    <row r="88" spans="1:2" x14ac:dyDescent="0.4">
      <c r="A88" s="4" t="s">
        <v>290</v>
      </c>
    </row>
    <row r="89" spans="1:2" x14ac:dyDescent="0.4">
      <c r="A89" t="s">
        <v>291</v>
      </c>
      <c r="B89" s="46">
        <v>11.49</v>
      </c>
    </row>
    <row r="90" spans="1:2" x14ac:dyDescent="0.4">
      <c r="A90" t="s">
        <v>292</v>
      </c>
      <c r="B90" s="46">
        <v>14.05</v>
      </c>
    </row>
    <row r="91" spans="1:2" x14ac:dyDescent="0.4">
      <c r="A91" t="s">
        <v>293</v>
      </c>
      <c r="B91" s="46">
        <v>18.010000000000002</v>
      </c>
    </row>
    <row r="93" spans="1:2" x14ac:dyDescent="0.4">
      <c r="A93" s="4" t="s">
        <v>294</v>
      </c>
      <c r="B93" s="51" t="s">
        <v>295</v>
      </c>
    </row>
    <row r="94" spans="1:2" x14ac:dyDescent="0.4">
      <c r="A94" t="s">
        <v>296</v>
      </c>
      <c r="B94" s="41" t="s">
        <v>297</v>
      </c>
    </row>
    <row r="96" spans="1:2" x14ac:dyDescent="0.4">
      <c r="A96" s="3" t="s">
        <v>298</v>
      </c>
    </row>
    <row r="97" spans="1:5" x14ac:dyDescent="0.4">
      <c r="A97" s="4" t="s">
        <v>299</v>
      </c>
      <c r="B97" s="52">
        <v>0.65900000000000003</v>
      </c>
    </row>
    <row r="98" spans="1:5" x14ac:dyDescent="0.4">
      <c r="A98" t="s">
        <v>300</v>
      </c>
      <c r="B98" s="46">
        <v>14.22</v>
      </c>
      <c r="C98" s="46">
        <v>20.14</v>
      </c>
      <c r="D98" s="46">
        <v>28.62</v>
      </c>
    </row>
    <row r="99" spans="1:5" x14ac:dyDescent="0.4">
      <c r="A99" s="4" t="s">
        <v>301</v>
      </c>
      <c r="B99" s="4" t="s">
        <v>302</v>
      </c>
      <c r="C99" s="4" t="s">
        <v>303</v>
      </c>
      <c r="D99" s="4" t="s">
        <v>304</v>
      </c>
      <c r="E99" s="4" t="s">
        <v>305</v>
      </c>
    </row>
    <row r="100" spans="1:5" x14ac:dyDescent="0.4">
      <c r="A100" s="48" t="s">
        <v>6</v>
      </c>
      <c r="B100" s="53">
        <v>0.65900000000000003</v>
      </c>
      <c r="C100" s="53">
        <v>0.82799999999999996</v>
      </c>
      <c r="D100" s="53">
        <v>0.34200000000000003</v>
      </c>
      <c r="E100" s="54">
        <v>14.215999999999999</v>
      </c>
    </row>
    <row r="101" spans="1:5" x14ac:dyDescent="0.4">
      <c r="A101" s="48" t="s">
        <v>306</v>
      </c>
      <c r="B101" s="53">
        <v>0.441</v>
      </c>
      <c r="C101" s="53">
        <v>0.47299999999999998</v>
      </c>
      <c r="D101" s="53">
        <v>9.5000000000000001E-2</v>
      </c>
      <c r="E101" s="54">
        <v>15.773</v>
      </c>
    </row>
    <row r="102" spans="1:5" x14ac:dyDescent="0.4">
      <c r="A102" s="48" t="s">
        <v>307</v>
      </c>
      <c r="B102" s="53">
        <v>0.67500000000000004</v>
      </c>
      <c r="C102" s="53">
        <v>0.77800000000000002</v>
      </c>
      <c r="D102" s="53">
        <v>0.20399999999999999</v>
      </c>
      <c r="E102" s="54">
        <v>20.135999999999999</v>
      </c>
    </row>
    <row r="103" spans="1:5" x14ac:dyDescent="0.4">
      <c r="A103" s="48" t="s">
        <v>308</v>
      </c>
      <c r="B103" s="53">
        <v>1.23</v>
      </c>
      <c r="C103" s="53">
        <v>1.23</v>
      </c>
      <c r="D103" s="53">
        <v>0</v>
      </c>
      <c r="E103" s="54">
        <v>28.62</v>
      </c>
    </row>
    <row r="104" spans="1:5" x14ac:dyDescent="0.4">
      <c r="A104" s="48" t="s">
        <v>309</v>
      </c>
      <c r="B104" s="53">
        <v>0.98399999999999999</v>
      </c>
      <c r="C104" s="53">
        <v>1.232</v>
      </c>
      <c r="D104" s="53">
        <v>0.33700000000000002</v>
      </c>
      <c r="E104" s="54">
        <v>24.71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310</v>
      </c>
    </row>
    <row r="2" spans="1:2" x14ac:dyDescent="0.4">
      <c r="A2" s="2" t="s">
        <v>311</v>
      </c>
    </row>
    <row r="4" spans="1:2" x14ac:dyDescent="0.4">
      <c r="A4" s="4" t="s">
        <v>312</v>
      </c>
      <c r="B4" s="30" t="s">
        <v>313</v>
      </c>
    </row>
    <row r="5" spans="1:2" x14ac:dyDescent="0.4">
      <c r="A5" s="4" t="s">
        <v>314</v>
      </c>
      <c r="B5" s="30" t="s">
        <v>315</v>
      </c>
    </row>
    <row r="6" spans="1:2" x14ac:dyDescent="0.4">
      <c r="A6" s="4" t="s">
        <v>316</v>
      </c>
      <c r="B6" s="30" t="s">
        <v>317</v>
      </c>
    </row>
    <row r="7" spans="1:2" x14ac:dyDescent="0.4">
      <c r="A7" s="4" t="s">
        <v>318</v>
      </c>
      <c r="B7" s="30" t="s">
        <v>319</v>
      </c>
    </row>
    <row r="8" spans="1:2" x14ac:dyDescent="0.4">
      <c r="A8" s="4" t="s">
        <v>320</v>
      </c>
      <c r="B8" s="30" t="s">
        <v>321</v>
      </c>
    </row>
    <row r="9" spans="1:2" x14ac:dyDescent="0.4">
      <c r="A9" s="4" t="s">
        <v>322</v>
      </c>
      <c r="B9" s="30" t="s">
        <v>323</v>
      </c>
    </row>
    <row r="10" spans="1:2" x14ac:dyDescent="0.4">
      <c r="A10" s="4" t="s">
        <v>324</v>
      </c>
      <c r="B10" s="30" t="s">
        <v>220</v>
      </c>
    </row>
    <row r="11" spans="1:2" x14ac:dyDescent="0.4">
      <c r="A11" s="4" t="s">
        <v>325</v>
      </c>
      <c r="B11" s="30" t="s">
        <v>326</v>
      </c>
    </row>
    <row r="12" spans="1:2" x14ac:dyDescent="0.4">
      <c r="A12" s="4" t="s">
        <v>327</v>
      </c>
      <c r="B12" s="30" t="s">
        <v>328</v>
      </c>
    </row>
    <row r="13" spans="1:2" x14ac:dyDescent="0.4">
      <c r="A13" s="4" t="s">
        <v>329</v>
      </c>
      <c r="B13" s="30" t="s">
        <v>330</v>
      </c>
    </row>
    <row r="14" spans="1:2" x14ac:dyDescent="0.4">
      <c r="A14" s="4" t="s">
        <v>331</v>
      </c>
      <c r="B14" s="30" t="s">
        <v>218</v>
      </c>
    </row>
    <row r="15" spans="1:2" x14ac:dyDescent="0.4">
      <c r="A15" s="4" t="s">
        <v>332</v>
      </c>
      <c r="B15" s="30" t="s">
        <v>220</v>
      </c>
    </row>
    <row r="16" spans="1:2" x14ac:dyDescent="0.4">
      <c r="A16" s="4" t="s">
        <v>333</v>
      </c>
      <c r="B16" s="30" t="s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2026-07-30T14:56:28Z</dcterms:modified>
</cp:coreProperties>
</file>