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tellantis\2026-07-31_run1\"/>
    </mc:Choice>
  </mc:AlternateContent>
  <xr:revisionPtr revIDLastSave="0" documentId="13_ncr:1_{8404B7B5-7F55-4154-95AE-558DD07FE38B}" xr6:coauthVersionLast="47" xr6:coauthVersionMax="47" xr10:uidLastSave="{00000000-0000-0000-0000-000000000000}"/>
  <bookViews>
    <workbookView xWindow="4590" yWindow="4140" windowWidth="18510" windowHeight="939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7" i="7"/>
  <c r="B48" i="7" s="1"/>
  <c r="B34" i="7"/>
  <c r="B45" i="7" s="1"/>
  <c r="B27" i="7"/>
  <c r="B38" i="7" s="1"/>
  <c r="B49" i="7" s="1"/>
  <c r="B26" i="7"/>
  <c r="D25" i="7"/>
  <c r="C25" i="7"/>
  <c r="B25" i="7"/>
  <c r="B36" i="7" s="1"/>
  <c r="B47" i="7" s="1"/>
  <c r="E24" i="7"/>
  <c r="D24" i="7"/>
  <c r="D35" i="7" s="1"/>
  <c r="D46" i="7" s="1"/>
  <c r="C24" i="7"/>
  <c r="C35" i="7" s="1"/>
  <c r="C46" i="7" s="1"/>
  <c r="B24" i="7"/>
  <c r="B35" i="7" s="1"/>
  <c r="B46" i="7" s="1"/>
  <c r="B23" i="7"/>
  <c r="C22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E22" i="7" s="1"/>
  <c r="D11" i="7"/>
  <c r="E10" i="7"/>
  <c r="D10" i="7"/>
  <c r="C10" i="7"/>
  <c r="C26" i="7" s="1"/>
  <c r="B6" i="7"/>
  <c r="D9" i="5"/>
  <c r="D8" i="5"/>
  <c r="D7" i="5"/>
  <c r="D6" i="5"/>
  <c r="D5" i="5"/>
  <c r="K120" i="4"/>
  <c r="J106" i="4"/>
  <c r="I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G64" i="4"/>
  <c r="I49" i="4"/>
  <c r="G49" i="4"/>
  <c r="G48" i="4"/>
  <c r="F48" i="4"/>
  <c r="E48" i="4"/>
  <c r="J47" i="4"/>
  <c r="I45" i="4"/>
  <c r="H45" i="4"/>
  <c r="G45" i="4"/>
  <c r="D45" i="4"/>
  <c r="C45" i="4"/>
  <c r="H39" i="4"/>
  <c r="G36" i="4"/>
  <c r="G42" i="4" s="1"/>
  <c r="F36" i="4"/>
  <c r="F42" i="4" s="1"/>
  <c r="F54" i="4" s="1"/>
  <c r="H35" i="4"/>
  <c r="H41" i="4" s="1"/>
  <c r="D34" i="4"/>
  <c r="D40" i="4" s="1"/>
  <c r="I33" i="4"/>
  <c r="I39" i="4" s="1"/>
  <c r="H33" i="4"/>
  <c r="J31" i="4"/>
  <c r="I31" i="4"/>
  <c r="H31" i="4"/>
  <c r="H37" i="4" s="1"/>
  <c r="H43" i="4" s="1"/>
  <c r="G31" i="4"/>
  <c r="F31" i="4"/>
  <c r="E31" i="4"/>
  <c r="D31" i="4"/>
  <c r="C31" i="4"/>
  <c r="J30" i="4"/>
  <c r="I30" i="4"/>
  <c r="H30" i="4"/>
  <c r="G30" i="4"/>
  <c r="F30" i="4"/>
  <c r="E30" i="4"/>
  <c r="D30" i="4"/>
  <c r="C30" i="4"/>
  <c r="C36" i="4" s="1"/>
  <c r="C42" i="4" s="1"/>
  <c r="C54" i="4" s="1"/>
  <c r="J29" i="4"/>
  <c r="J35" i="4" s="1"/>
  <c r="J41" i="4" s="1"/>
  <c r="J53" i="4" s="1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E33" i="4" s="1"/>
  <c r="E39" i="4" s="1"/>
  <c r="E51" i="4" s="1"/>
  <c r="D27" i="4"/>
  <c r="D33" i="4" s="1"/>
  <c r="D39" i="4" s="1"/>
  <c r="C27" i="4"/>
  <c r="J25" i="4"/>
  <c r="I25" i="4"/>
  <c r="I63" i="4" s="1"/>
  <c r="H25" i="4"/>
  <c r="G25" i="4"/>
  <c r="G63" i="4" s="1"/>
  <c r="F25" i="4"/>
  <c r="E25" i="4"/>
  <c r="D25" i="4"/>
  <c r="C25" i="4"/>
  <c r="J24" i="4"/>
  <c r="J36" i="4" s="1"/>
  <c r="J42" i="4" s="1"/>
  <c r="I24" i="4"/>
  <c r="I48" i="4" s="1"/>
  <c r="H24" i="4"/>
  <c r="H36" i="4" s="1"/>
  <c r="H42" i="4" s="1"/>
  <c r="G24" i="4"/>
  <c r="F24" i="4"/>
  <c r="E24" i="4"/>
  <c r="D24" i="4"/>
  <c r="C24" i="4"/>
  <c r="C48" i="4" s="1"/>
  <c r="J23" i="4"/>
  <c r="I23" i="4"/>
  <c r="H23" i="4"/>
  <c r="H47" i="4" s="1"/>
  <c r="G23" i="4"/>
  <c r="F23" i="4"/>
  <c r="E23" i="4"/>
  <c r="E47" i="4" s="1"/>
  <c r="D23" i="4"/>
  <c r="C23" i="4"/>
  <c r="C47" i="4" s="1"/>
  <c r="J22" i="4"/>
  <c r="I22" i="4"/>
  <c r="I46" i="4" s="1"/>
  <c r="H22" i="4"/>
  <c r="G22" i="4"/>
  <c r="F22" i="4"/>
  <c r="E22" i="4"/>
  <c r="D22" i="4"/>
  <c r="D46" i="4" s="1"/>
  <c r="C22" i="4"/>
  <c r="C34" i="4" s="1"/>
  <c r="C40" i="4" s="1"/>
  <c r="J21" i="4"/>
  <c r="J33" i="4" s="1"/>
  <c r="J39" i="4" s="1"/>
  <c r="I21" i="4"/>
  <c r="H21" i="4"/>
  <c r="G21" i="4"/>
  <c r="F21" i="4"/>
  <c r="E21" i="4"/>
  <c r="E45" i="4" s="1"/>
  <c r="D21" i="4"/>
  <c r="C21" i="4"/>
  <c r="C33" i="4" s="1"/>
  <c r="C39" i="4" s="1"/>
  <c r="C51" i="4" s="1"/>
  <c r="C57" i="4" s="1"/>
  <c r="K120" i="3"/>
  <c r="J106" i="3"/>
  <c r="I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I63" i="3"/>
  <c r="I87" i="3" s="1"/>
  <c r="H49" i="3"/>
  <c r="F49" i="3"/>
  <c r="E49" i="3"/>
  <c r="G48" i="3"/>
  <c r="J47" i="3"/>
  <c r="J46" i="3"/>
  <c r="H46" i="3"/>
  <c r="G46" i="3"/>
  <c r="C46" i="3"/>
  <c r="E37" i="3"/>
  <c r="E43" i="3" s="1"/>
  <c r="E55" i="3" s="1"/>
  <c r="G34" i="3"/>
  <c r="G40" i="3" s="1"/>
  <c r="C34" i="3"/>
  <c r="C40" i="3" s="1"/>
  <c r="J33" i="3"/>
  <c r="J39" i="3" s="1"/>
  <c r="J51" i="3" s="1"/>
  <c r="J31" i="3"/>
  <c r="I31" i="3"/>
  <c r="H31" i="3"/>
  <c r="G31" i="3"/>
  <c r="F31" i="3"/>
  <c r="E31" i="3"/>
  <c r="D31" i="3"/>
  <c r="C31" i="3"/>
  <c r="J30" i="3"/>
  <c r="J36" i="3" s="1"/>
  <c r="J42" i="3" s="1"/>
  <c r="J54" i="3" s="1"/>
  <c r="I30" i="3"/>
  <c r="H30" i="3"/>
  <c r="G30" i="3"/>
  <c r="F30" i="3"/>
  <c r="E30" i="3"/>
  <c r="D30" i="3"/>
  <c r="C30" i="3"/>
  <c r="J29" i="3"/>
  <c r="I29" i="3"/>
  <c r="H29" i="3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63" i="3" s="1"/>
  <c r="J75" i="3" s="1"/>
  <c r="J81" i="3" s="1"/>
  <c r="I25" i="3"/>
  <c r="I49" i="3" s="1"/>
  <c r="H25" i="3"/>
  <c r="H63" i="3" s="1"/>
  <c r="H87" i="3" s="1"/>
  <c r="G25" i="3"/>
  <c r="F25" i="3"/>
  <c r="F63" i="3" s="1"/>
  <c r="F75" i="3" s="1"/>
  <c r="F81" i="3" s="1"/>
  <c r="E25" i="3"/>
  <c r="E63" i="3" s="1"/>
  <c r="D25" i="3"/>
  <c r="C25" i="3"/>
  <c r="J24" i="3"/>
  <c r="J48" i="3" s="1"/>
  <c r="I24" i="3"/>
  <c r="I48" i="3" s="1"/>
  <c r="H24" i="3"/>
  <c r="G24" i="3"/>
  <c r="G36" i="3" s="1"/>
  <c r="G42" i="3" s="1"/>
  <c r="G54" i="3" s="1"/>
  <c r="F24" i="3"/>
  <c r="F48" i="3" s="1"/>
  <c r="E24" i="3"/>
  <c r="D24" i="3"/>
  <c r="C24" i="3"/>
  <c r="C48" i="3" s="1"/>
  <c r="J23" i="3"/>
  <c r="I23" i="3"/>
  <c r="I47" i="3" s="1"/>
  <c r="H23" i="3"/>
  <c r="H47" i="3" s="1"/>
  <c r="G23" i="3"/>
  <c r="G47" i="3" s="1"/>
  <c r="F23" i="3"/>
  <c r="F35" i="3" s="1"/>
  <c r="F41" i="3" s="1"/>
  <c r="E23" i="3"/>
  <c r="E47" i="3" s="1"/>
  <c r="D23" i="3"/>
  <c r="D35" i="3" s="1"/>
  <c r="D41" i="3" s="1"/>
  <c r="C23" i="3"/>
  <c r="C47" i="3" s="1"/>
  <c r="J22" i="3"/>
  <c r="I22" i="3"/>
  <c r="H22" i="3"/>
  <c r="G22" i="3"/>
  <c r="F22" i="3"/>
  <c r="E22" i="3"/>
  <c r="D22" i="3"/>
  <c r="C22" i="3"/>
  <c r="J21" i="3"/>
  <c r="J45" i="3" s="1"/>
  <c r="I21" i="3"/>
  <c r="I45" i="3" s="1"/>
  <c r="H21" i="3"/>
  <c r="H45" i="3" s="1"/>
  <c r="G21" i="3"/>
  <c r="F21" i="3"/>
  <c r="E21" i="3"/>
  <c r="E33" i="3" s="1"/>
  <c r="E39" i="3" s="1"/>
  <c r="D21" i="3"/>
  <c r="C21" i="3"/>
  <c r="K120" i="2"/>
  <c r="J106" i="2"/>
  <c r="I106" i="2"/>
  <c r="I104" i="2"/>
  <c r="H104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J75" i="2" s="1"/>
  <c r="J81" i="2" s="1"/>
  <c r="G63" i="2"/>
  <c r="F63" i="2"/>
  <c r="E63" i="2"/>
  <c r="E64" i="2" s="1"/>
  <c r="J49" i="2"/>
  <c r="I49" i="2"/>
  <c r="G49" i="2"/>
  <c r="F49" i="2"/>
  <c r="D47" i="2"/>
  <c r="C47" i="2"/>
  <c r="C53" i="2" s="1"/>
  <c r="I46" i="2"/>
  <c r="J37" i="2"/>
  <c r="J43" i="2" s="1"/>
  <c r="I37" i="2"/>
  <c r="I43" i="2" s="1"/>
  <c r="F37" i="2"/>
  <c r="F43" i="2" s="1"/>
  <c r="F55" i="2" s="1"/>
  <c r="I35" i="2"/>
  <c r="I41" i="2" s="1"/>
  <c r="H35" i="2"/>
  <c r="H41" i="2" s="1"/>
  <c r="G35" i="2"/>
  <c r="G41" i="2" s="1"/>
  <c r="C35" i="2"/>
  <c r="C41" i="2" s="1"/>
  <c r="J31" i="2"/>
  <c r="I31" i="2"/>
  <c r="H31" i="2"/>
  <c r="H37" i="2" s="1"/>
  <c r="H43" i="2" s="1"/>
  <c r="G31" i="2"/>
  <c r="G37" i="2" s="1"/>
  <c r="G43" i="2" s="1"/>
  <c r="G55" i="2" s="1"/>
  <c r="F31" i="2"/>
  <c r="E31" i="2"/>
  <c r="E37" i="2" s="1"/>
  <c r="E43" i="2" s="1"/>
  <c r="D31" i="2"/>
  <c r="C31" i="2"/>
  <c r="J30" i="2"/>
  <c r="I30" i="2"/>
  <c r="H30" i="2"/>
  <c r="G30" i="2"/>
  <c r="F30" i="2"/>
  <c r="E30" i="2"/>
  <c r="D30" i="2"/>
  <c r="D36" i="2" s="1"/>
  <c r="D42" i="2" s="1"/>
  <c r="D54" i="2" s="1"/>
  <c r="C30" i="2"/>
  <c r="C36" i="2" s="1"/>
  <c r="C42" i="2" s="1"/>
  <c r="C54" i="2" s="1"/>
  <c r="J29" i="2"/>
  <c r="I29" i="2"/>
  <c r="H29" i="2"/>
  <c r="G29" i="2"/>
  <c r="F29" i="2"/>
  <c r="E29" i="2"/>
  <c r="D29" i="2"/>
  <c r="D35" i="2" s="1"/>
  <c r="D41" i="2" s="1"/>
  <c r="D53" i="2" s="1"/>
  <c r="C29" i="2"/>
  <c r="J28" i="2"/>
  <c r="J34" i="2" s="1"/>
  <c r="J40" i="2" s="1"/>
  <c r="J52" i="2" s="1"/>
  <c r="I28" i="2"/>
  <c r="I34" i="2" s="1"/>
  <c r="I40" i="2" s="1"/>
  <c r="I52" i="2" s="1"/>
  <c r="H28" i="2"/>
  <c r="H34" i="2" s="1"/>
  <c r="H40" i="2" s="1"/>
  <c r="G28" i="2"/>
  <c r="G34" i="2" s="1"/>
  <c r="G40" i="2" s="1"/>
  <c r="F28" i="2"/>
  <c r="E28" i="2"/>
  <c r="D28" i="2"/>
  <c r="C28" i="2"/>
  <c r="J27" i="2"/>
  <c r="I27" i="2"/>
  <c r="H27" i="2"/>
  <c r="G27" i="2"/>
  <c r="F27" i="2"/>
  <c r="E27" i="2"/>
  <c r="E33" i="2" s="1"/>
  <c r="E39" i="2" s="1"/>
  <c r="E51" i="2" s="1"/>
  <c r="D27" i="2"/>
  <c r="C27" i="2"/>
  <c r="J25" i="2"/>
  <c r="I25" i="2"/>
  <c r="I63" i="2" s="1"/>
  <c r="H25" i="2"/>
  <c r="G25" i="2"/>
  <c r="F25" i="2"/>
  <c r="E25" i="2"/>
  <c r="E49" i="2" s="1"/>
  <c r="D25" i="2"/>
  <c r="C25" i="2"/>
  <c r="C63" i="2" s="1"/>
  <c r="J24" i="2"/>
  <c r="J48" i="2" s="1"/>
  <c r="I24" i="2"/>
  <c r="I48" i="2" s="1"/>
  <c r="H24" i="2"/>
  <c r="H36" i="2" s="1"/>
  <c r="H42" i="2" s="1"/>
  <c r="G24" i="2"/>
  <c r="F24" i="2"/>
  <c r="E24" i="2"/>
  <c r="D24" i="2"/>
  <c r="D48" i="2" s="1"/>
  <c r="C24" i="2"/>
  <c r="C48" i="2" s="1"/>
  <c r="J23" i="2"/>
  <c r="I23" i="2"/>
  <c r="I47" i="2" s="1"/>
  <c r="H23" i="2"/>
  <c r="H47" i="2" s="1"/>
  <c r="G23" i="2"/>
  <c r="G47" i="2" s="1"/>
  <c r="F23" i="2"/>
  <c r="F47" i="2" s="1"/>
  <c r="E23" i="2"/>
  <c r="E47" i="2" s="1"/>
  <c r="D23" i="2"/>
  <c r="C23" i="2"/>
  <c r="J22" i="2"/>
  <c r="J46" i="2" s="1"/>
  <c r="I22" i="2"/>
  <c r="H22" i="2"/>
  <c r="H46" i="2" s="1"/>
  <c r="G22" i="2"/>
  <c r="G46" i="2" s="1"/>
  <c r="F22" i="2"/>
  <c r="E22" i="2"/>
  <c r="E46" i="2" s="1"/>
  <c r="D22" i="2"/>
  <c r="D46" i="2" s="1"/>
  <c r="C22" i="2"/>
  <c r="C46" i="2" s="1"/>
  <c r="J21" i="2"/>
  <c r="J33" i="2" s="1"/>
  <c r="J39" i="2" s="1"/>
  <c r="I21" i="2"/>
  <c r="H21" i="2"/>
  <c r="G21" i="2"/>
  <c r="F21" i="2"/>
  <c r="F33" i="2" s="1"/>
  <c r="F39" i="2" s="1"/>
  <c r="E21" i="2"/>
  <c r="E45" i="2" s="1"/>
  <c r="D21" i="2"/>
  <c r="C21" i="2"/>
  <c r="B37" i="1"/>
  <c r="B38" i="1" s="1"/>
  <c r="J104" i="3" s="1"/>
  <c r="B30" i="1"/>
  <c r="B29" i="1"/>
  <c r="C16" i="4" s="1"/>
  <c r="B28" i="1"/>
  <c r="B23" i="1"/>
  <c r="B26" i="1" s="1"/>
  <c r="B14" i="1"/>
  <c r="E87" i="3" l="1"/>
  <c r="E75" i="3"/>
  <c r="E81" i="3" s="1"/>
  <c r="E93" i="3" s="1"/>
  <c r="E65" i="2"/>
  <c r="E66" i="2" s="1"/>
  <c r="E76" i="2"/>
  <c r="E82" i="2" s="1"/>
  <c r="D52" i="4"/>
  <c r="E51" i="3"/>
  <c r="H53" i="2"/>
  <c r="H59" i="2" s="1"/>
  <c r="G16" i="3"/>
  <c r="G60" i="3" s="1"/>
  <c r="G35" i="3"/>
  <c r="G41" i="3" s="1"/>
  <c r="G53" i="3" s="1"/>
  <c r="D47" i="3"/>
  <c r="D53" i="3" s="1"/>
  <c r="D104" i="3"/>
  <c r="C46" i="4"/>
  <c r="C52" i="4" s="1"/>
  <c r="C58" i="4" s="1"/>
  <c r="E35" i="7"/>
  <c r="E46" i="7" s="1"/>
  <c r="I36" i="2"/>
  <c r="I42" i="2" s="1"/>
  <c r="I54" i="2" s="1"/>
  <c r="I60" i="2" s="1"/>
  <c r="H33" i="3"/>
  <c r="H39" i="3" s="1"/>
  <c r="H51" i="3" s="1"/>
  <c r="H57" i="3" s="1"/>
  <c r="F36" i="3"/>
  <c r="F42" i="3" s="1"/>
  <c r="F54" i="3" s="1"/>
  <c r="C36" i="3"/>
  <c r="C42" i="3" s="1"/>
  <c r="C54" i="3" s="1"/>
  <c r="F104" i="3"/>
  <c r="E35" i="4"/>
  <c r="E41" i="4" s="1"/>
  <c r="I64" i="3"/>
  <c r="I88" i="3" s="1"/>
  <c r="I53" i="2"/>
  <c r="J64" i="3"/>
  <c r="J65" i="3" s="1"/>
  <c r="I75" i="3"/>
  <c r="I81" i="3" s="1"/>
  <c r="I93" i="3" s="1"/>
  <c r="E35" i="3"/>
  <c r="E41" i="3" s="1"/>
  <c r="E53" i="3" s="1"/>
  <c r="C104" i="3"/>
  <c r="I55" i="2"/>
  <c r="I35" i="3"/>
  <c r="I41" i="3" s="1"/>
  <c r="I53" i="3" s="1"/>
  <c r="F47" i="3"/>
  <c r="F53" i="3" s="1"/>
  <c r="E104" i="3"/>
  <c r="F37" i="4"/>
  <c r="F43" i="4" s="1"/>
  <c r="J36" i="2"/>
  <c r="J42" i="2" s="1"/>
  <c r="J54" i="2" s="1"/>
  <c r="J60" i="2" s="1"/>
  <c r="G104" i="3"/>
  <c r="D26" i="7"/>
  <c r="D37" i="7" s="1"/>
  <c r="D48" i="7" s="1"/>
  <c r="I36" i="3"/>
  <c r="I42" i="3" s="1"/>
  <c r="I54" i="3" s="1"/>
  <c r="I51" i="4"/>
  <c r="E26" i="7"/>
  <c r="E37" i="7" s="1"/>
  <c r="E48" i="7" s="1"/>
  <c r="C52" i="3"/>
  <c r="G52" i="3"/>
  <c r="G52" i="2"/>
  <c r="I37" i="3"/>
  <c r="I43" i="3" s="1"/>
  <c r="D51" i="4"/>
  <c r="H48" i="4"/>
  <c r="D16" i="4"/>
  <c r="F45" i="2"/>
  <c r="F51" i="2" s="1"/>
  <c r="F57" i="2" s="1"/>
  <c r="F16" i="4"/>
  <c r="J48" i="4"/>
  <c r="J54" i="4" s="1"/>
  <c r="J45" i="2"/>
  <c r="J51" i="2" s="1"/>
  <c r="J57" i="2" s="1"/>
  <c r="I35" i="4"/>
  <c r="I41" i="4" s="1"/>
  <c r="I36" i="4"/>
  <c r="I42" i="4" s="1"/>
  <c r="I54" i="4" s="1"/>
  <c r="C104" i="4"/>
  <c r="C60" i="4" s="1"/>
  <c r="C36" i="7"/>
  <c r="C47" i="7" s="1"/>
  <c r="J49" i="3"/>
  <c r="D104" i="4"/>
  <c r="J34" i="3"/>
  <c r="J40" i="3" s="1"/>
  <c r="J52" i="3" s="1"/>
  <c r="H37" i="3"/>
  <c r="H43" i="3" s="1"/>
  <c r="H55" i="3" s="1"/>
  <c r="H61" i="3" s="1"/>
  <c r="E104" i="4"/>
  <c r="D22" i="7"/>
  <c r="D33" i="7" s="1"/>
  <c r="D44" i="7" s="1"/>
  <c r="E55" i="2"/>
  <c r="H51" i="4"/>
  <c r="G104" i="4"/>
  <c r="D104" i="2"/>
  <c r="E45" i="3"/>
  <c r="H104" i="4"/>
  <c r="H52" i="2"/>
  <c r="J37" i="3"/>
  <c r="J43" i="3" s="1"/>
  <c r="C104" i="2"/>
  <c r="C35" i="3"/>
  <c r="C41" i="3" s="1"/>
  <c r="C53" i="3" s="1"/>
  <c r="B31" i="1"/>
  <c r="E35" i="2"/>
  <c r="E41" i="2" s="1"/>
  <c r="E53" i="2" s="1"/>
  <c r="E59" i="2" s="1"/>
  <c r="E104" i="2"/>
  <c r="D23" i="7"/>
  <c r="D34" i="7" s="1"/>
  <c r="D45" i="7" s="1"/>
  <c r="G53" i="2"/>
  <c r="G59" i="2" s="1"/>
  <c r="D36" i="7"/>
  <c r="D47" i="7" s="1"/>
  <c r="H16" i="3"/>
  <c r="F35" i="2"/>
  <c r="F41" i="2" s="1"/>
  <c r="F53" i="2" s="1"/>
  <c r="G104" i="2"/>
  <c r="I33" i="3"/>
  <c r="I39" i="3" s="1"/>
  <c r="I51" i="3" s="1"/>
  <c r="E23" i="7"/>
  <c r="E34" i="7" s="1"/>
  <c r="E45" i="7" s="1"/>
  <c r="G45" i="2"/>
  <c r="G33" i="2"/>
  <c r="G39" i="2" s="1"/>
  <c r="F48" i="2"/>
  <c r="F36" i="2"/>
  <c r="F42" i="2" s="1"/>
  <c r="F54" i="2" s="1"/>
  <c r="I64" i="4"/>
  <c r="I87" i="4"/>
  <c r="I75" i="4"/>
  <c r="I81" i="4" s="1"/>
  <c r="I93" i="4" s="1"/>
  <c r="E99" i="3"/>
  <c r="D60" i="2"/>
  <c r="E61" i="3"/>
  <c r="E48" i="2"/>
  <c r="E36" i="2"/>
  <c r="E42" i="2" s="1"/>
  <c r="C34" i="2"/>
  <c r="C40" i="2" s="1"/>
  <c r="C52" i="2" s="1"/>
  <c r="E34" i="4"/>
  <c r="E40" i="4" s="1"/>
  <c r="E46" i="4"/>
  <c r="H45" i="2"/>
  <c r="H33" i="2"/>
  <c r="H39" i="2" s="1"/>
  <c r="H51" i="2" s="1"/>
  <c r="H57" i="2" s="1"/>
  <c r="G48" i="2"/>
  <c r="G36" i="2"/>
  <c r="G42" i="2" s="1"/>
  <c r="D34" i="2"/>
  <c r="D40" i="2" s="1"/>
  <c r="D52" i="2" s="1"/>
  <c r="G65" i="4"/>
  <c r="G76" i="4"/>
  <c r="G82" i="4" s="1"/>
  <c r="G88" i="4"/>
  <c r="H55" i="2"/>
  <c r="G87" i="4"/>
  <c r="G75" i="4"/>
  <c r="G81" i="4" s="1"/>
  <c r="D46" i="3"/>
  <c r="D34" i="3"/>
  <c r="D40" i="3" s="1"/>
  <c r="I45" i="2"/>
  <c r="I33" i="2"/>
  <c r="I39" i="2" s="1"/>
  <c r="I51" i="2" s="1"/>
  <c r="F46" i="4"/>
  <c r="F34" i="4"/>
  <c r="F40" i="4" s="1"/>
  <c r="F52" i="4" s="1"/>
  <c r="F93" i="3"/>
  <c r="I59" i="2"/>
  <c r="E34" i="3"/>
  <c r="E40" i="3" s="1"/>
  <c r="E46" i="3"/>
  <c r="C37" i="3"/>
  <c r="C43" i="3" s="1"/>
  <c r="C63" i="3"/>
  <c r="C49" i="3"/>
  <c r="C64" i="2"/>
  <c r="C87" i="2"/>
  <c r="D63" i="4"/>
  <c r="D49" i="4"/>
  <c r="D37" i="4"/>
  <c r="D43" i="4" s="1"/>
  <c r="D55" i="4" s="1"/>
  <c r="C37" i="4"/>
  <c r="C43" i="4" s="1"/>
  <c r="C63" i="4"/>
  <c r="C49" i="4"/>
  <c r="J89" i="3"/>
  <c r="J77" i="3"/>
  <c r="J83" i="3" s="1"/>
  <c r="J95" i="3" s="1"/>
  <c r="J66" i="3"/>
  <c r="F34" i="3"/>
  <c r="F40" i="3" s="1"/>
  <c r="F46" i="3"/>
  <c r="D37" i="3"/>
  <c r="D43" i="3" s="1"/>
  <c r="D49" i="3"/>
  <c r="D63" i="3"/>
  <c r="C75" i="2"/>
  <c r="C81" i="2" s="1"/>
  <c r="F60" i="3"/>
  <c r="H34" i="4"/>
  <c r="H40" i="4" s="1"/>
  <c r="H46" i="4"/>
  <c r="E53" i="4"/>
  <c r="E87" i="2"/>
  <c r="E75" i="2"/>
  <c r="E81" i="2" s="1"/>
  <c r="E93" i="2" s="1"/>
  <c r="E88" i="2"/>
  <c r="E94" i="2" s="1"/>
  <c r="E100" i="2" s="1"/>
  <c r="F104" i="2"/>
  <c r="F59" i="2" s="1"/>
  <c r="I55" i="3"/>
  <c r="J46" i="4"/>
  <c r="J34" i="4"/>
  <c r="J40" i="4" s="1"/>
  <c r="J52" i="4" s="1"/>
  <c r="H63" i="4"/>
  <c r="H49" i="4"/>
  <c r="H55" i="4" s="1"/>
  <c r="H61" i="4" s="1"/>
  <c r="F104" i="4"/>
  <c r="F60" i="4" s="1"/>
  <c r="J16" i="2"/>
  <c r="J107" i="2" s="1"/>
  <c r="I16" i="3"/>
  <c r="I57" i="3" s="1"/>
  <c r="J16" i="4"/>
  <c r="G16" i="4"/>
  <c r="E16" i="4"/>
  <c r="E57" i="4" s="1"/>
  <c r="F16" i="3"/>
  <c r="E16" i="2"/>
  <c r="E16" i="3"/>
  <c r="D16" i="2"/>
  <c r="D59" i="2" s="1"/>
  <c r="C16" i="3"/>
  <c r="D16" i="3"/>
  <c r="C16" i="2"/>
  <c r="C59" i="2" s="1"/>
  <c r="I104" i="3"/>
  <c r="I16" i="4"/>
  <c r="I34" i="4"/>
  <c r="I40" i="4" s="1"/>
  <c r="I52" i="4" s="1"/>
  <c r="I58" i="4" s="1"/>
  <c r="C45" i="3"/>
  <c r="C33" i="3"/>
  <c r="C39" i="3" s="1"/>
  <c r="H75" i="3"/>
  <c r="H81" i="3" s="1"/>
  <c r="H93" i="3" s="1"/>
  <c r="F34" i="2"/>
  <c r="F40" i="2" s="1"/>
  <c r="F46" i="2"/>
  <c r="H16" i="4"/>
  <c r="H57" i="4" s="1"/>
  <c r="E37" i="4"/>
  <c r="E43" i="4" s="1"/>
  <c r="E63" i="4"/>
  <c r="E49" i="4"/>
  <c r="C35" i="4"/>
  <c r="C41" i="4" s="1"/>
  <c r="C53" i="4" s="1"/>
  <c r="D37" i="2"/>
  <c r="D43" i="2" s="1"/>
  <c r="D63" i="2"/>
  <c r="D49" i="2"/>
  <c r="G87" i="2"/>
  <c r="G75" i="2"/>
  <c r="G81" i="2" s="1"/>
  <c r="G93" i="2" s="1"/>
  <c r="G64" i="2"/>
  <c r="J87" i="2"/>
  <c r="J93" i="2" s="1"/>
  <c r="J64" i="2"/>
  <c r="E33" i="7"/>
  <c r="E44" i="7" s="1"/>
  <c r="J104" i="2"/>
  <c r="H104" i="3"/>
  <c r="J104" i="4"/>
  <c r="I104" i="4"/>
  <c r="D45" i="3"/>
  <c r="D33" i="3"/>
  <c r="D39" i="3" s="1"/>
  <c r="D51" i="3" s="1"/>
  <c r="F64" i="3"/>
  <c r="F87" i="3"/>
  <c r="G16" i="2"/>
  <c r="G61" i="2" s="1"/>
  <c r="F45" i="3"/>
  <c r="F33" i="3"/>
  <c r="F39" i="3" s="1"/>
  <c r="F51" i="3" s="1"/>
  <c r="F57" i="3" s="1"/>
  <c r="D36" i="3"/>
  <c r="D42" i="3" s="1"/>
  <c r="D48" i="3"/>
  <c r="C33" i="7"/>
  <c r="C44" i="7" s="1"/>
  <c r="C37" i="2"/>
  <c r="C43" i="2" s="1"/>
  <c r="I37" i="4"/>
  <c r="I43" i="4" s="1"/>
  <c r="I55" i="4" s="1"/>
  <c r="J37" i="4"/>
  <c r="J43" i="4" s="1"/>
  <c r="J63" i="4"/>
  <c r="J49" i="4"/>
  <c r="F47" i="4"/>
  <c r="F35" i="4"/>
  <c r="F41" i="4" s="1"/>
  <c r="F53" i="4" s="1"/>
  <c r="H16" i="2"/>
  <c r="H58" i="2" s="1"/>
  <c r="C49" i="2"/>
  <c r="G45" i="3"/>
  <c r="G33" i="3"/>
  <c r="G39" i="3" s="1"/>
  <c r="G51" i="3" s="1"/>
  <c r="G57" i="3" s="1"/>
  <c r="E36" i="3"/>
  <c r="E42" i="3" s="1"/>
  <c r="E48" i="3"/>
  <c r="G34" i="4"/>
  <c r="G40" i="4" s="1"/>
  <c r="G46" i="4"/>
  <c r="C37" i="7"/>
  <c r="C48" i="7" s="1"/>
  <c r="C27" i="7"/>
  <c r="D35" i="4"/>
  <c r="D41" i="4" s="1"/>
  <c r="D47" i="4"/>
  <c r="F49" i="4"/>
  <c r="I75" i="2"/>
  <c r="I81" i="2" s="1"/>
  <c r="I87" i="2"/>
  <c r="I64" i="2"/>
  <c r="G47" i="4"/>
  <c r="G35" i="4"/>
  <c r="G41" i="4" s="1"/>
  <c r="G53" i="4" s="1"/>
  <c r="G59" i="4" s="1"/>
  <c r="J16" i="3"/>
  <c r="J107" i="3" s="1"/>
  <c r="J55" i="2"/>
  <c r="H48" i="2"/>
  <c r="H54" i="2" s="1"/>
  <c r="H60" i="2" s="1"/>
  <c r="F16" i="2"/>
  <c r="G54" i="4"/>
  <c r="I16" i="2"/>
  <c r="I58" i="2" s="1"/>
  <c r="E64" i="3"/>
  <c r="F87" i="2"/>
  <c r="F75" i="2"/>
  <c r="F81" i="2" s="1"/>
  <c r="F64" i="2"/>
  <c r="J35" i="3"/>
  <c r="J41" i="3" s="1"/>
  <c r="J53" i="3" s="1"/>
  <c r="C33" i="2"/>
  <c r="C39" i="2" s="1"/>
  <c r="C45" i="2"/>
  <c r="H35" i="3"/>
  <c r="H41" i="3" s="1"/>
  <c r="H53" i="3" s="1"/>
  <c r="H59" i="3" s="1"/>
  <c r="H64" i="3"/>
  <c r="G37" i="4"/>
  <c r="G43" i="4" s="1"/>
  <c r="G55" i="4" s="1"/>
  <c r="G61" i="4" s="1"/>
  <c r="J45" i="4"/>
  <c r="J51" i="4" s="1"/>
  <c r="J57" i="4" s="1"/>
  <c r="D11" i="5"/>
  <c r="D12" i="5" s="1"/>
  <c r="E34" i="2"/>
  <c r="E40" i="2" s="1"/>
  <c r="E52" i="2" s="1"/>
  <c r="D45" i="2"/>
  <c r="D33" i="2"/>
  <c r="D39" i="2" s="1"/>
  <c r="D51" i="2" s="1"/>
  <c r="J47" i="2"/>
  <c r="J35" i="2"/>
  <c r="J41" i="2" s="1"/>
  <c r="J53" i="2" s="1"/>
  <c r="H36" i="3"/>
  <c r="H42" i="3" s="1"/>
  <c r="H48" i="3"/>
  <c r="I65" i="3"/>
  <c r="I76" i="3"/>
  <c r="I82" i="3" s="1"/>
  <c r="I94" i="3" s="1"/>
  <c r="H54" i="4"/>
  <c r="F63" i="4"/>
  <c r="J76" i="3"/>
  <c r="J82" i="3" s="1"/>
  <c r="J88" i="3"/>
  <c r="H34" i="3"/>
  <c r="H40" i="3" s="1"/>
  <c r="H52" i="3" s="1"/>
  <c r="F37" i="3"/>
  <c r="F43" i="3" s="1"/>
  <c r="F55" i="3" s="1"/>
  <c r="G37" i="3"/>
  <c r="G43" i="3" s="1"/>
  <c r="G63" i="3"/>
  <c r="G49" i="3"/>
  <c r="F45" i="4"/>
  <c r="F33" i="4"/>
  <c r="F39" i="4" s="1"/>
  <c r="H63" i="2"/>
  <c r="H49" i="2"/>
  <c r="J87" i="3"/>
  <c r="J93" i="3" s="1"/>
  <c r="G33" i="4"/>
  <c r="G39" i="4" s="1"/>
  <c r="G51" i="4" s="1"/>
  <c r="E36" i="4"/>
  <c r="E42" i="4" s="1"/>
  <c r="E54" i="4" s="1"/>
  <c r="H53" i="4"/>
  <c r="I47" i="4"/>
  <c r="B28" i="7"/>
  <c r="I34" i="3"/>
  <c r="I40" i="3" s="1"/>
  <c r="I46" i="3"/>
  <c r="D48" i="4"/>
  <c r="D36" i="4"/>
  <c r="D42" i="4" s="1"/>
  <c r="D54" i="4" s="1"/>
  <c r="C23" i="7"/>
  <c r="C34" i="7" s="1"/>
  <c r="C45" i="7" s="1"/>
  <c r="E25" i="7"/>
  <c r="E36" i="7" s="1"/>
  <c r="E47" i="7" s="1"/>
  <c r="H58" i="3" l="1"/>
  <c r="D60" i="4"/>
  <c r="G59" i="3"/>
  <c r="F93" i="2"/>
  <c r="F99" i="2" s="1"/>
  <c r="C51" i="3"/>
  <c r="D52" i="3"/>
  <c r="E54" i="2"/>
  <c r="E60" i="2" s="1"/>
  <c r="E99" i="2"/>
  <c r="D61" i="4"/>
  <c r="F58" i="4"/>
  <c r="I60" i="4"/>
  <c r="J58" i="2"/>
  <c r="J99" i="2"/>
  <c r="E61" i="2"/>
  <c r="C55" i="2"/>
  <c r="I53" i="4"/>
  <c r="I59" i="4" s="1"/>
  <c r="D58" i="4"/>
  <c r="H61" i="2"/>
  <c r="J59" i="2"/>
  <c r="G99" i="2"/>
  <c r="E59" i="3"/>
  <c r="D57" i="2"/>
  <c r="E89" i="2"/>
  <c r="D57" i="4"/>
  <c r="E27" i="7"/>
  <c r="F59" i="3"/>
  <c r="E77" i="2"/>
  <c r="E83" i="2" s="1"/>
  <c r="F51" i="4"/>
  <c r="F57" i="4" s="1"/>
  <c r="E58" i="2"/>
  <c r="G54" i="2"/>
  <c r="I59" i="3"/>
  <c r="J55" i="3"/>
  <c r="G58" i="3"/>
  <c r="G93" i="4"/>
  <c r="G99" i="4" s="1"/>
  <c r="E59" i="4"/>
  <c r="D59" i="3"/>
  <c r="C58" i="3"/>
  <c r="D27" i="7"/>
  <c r="F55" i="4"/>
  <c r="F61" i="4" s="1"/>
  <c r="C59" i="4"/>
  <c r="J60" i="4"/>
  <c r="G51" i="2"/>
  <c r="G57" i="2" s="1"/>
  <c r="D75" i="4"/>
  <c r="D81" i="4" s="1"/>
  <c r="D87" i="4"/>
  <c r="D64" i="4"/>
  <c r="J64" i="4"/>
  <c r="J87" i="4"/>
  <c r="J75" i="4"/>
  <c r="J81" i="4" s="1"/>
  <c r="J93" i="4" s="1"/>
  <c r="J99" i="4" s="1"/>
  <c r="J55" i="4"/>
  <c r="J61" i="4" s="1"/>
  <c r="I57" i="4"/>
  <c r="C88" i="2"/>
  <c r="C65" i="2"/>
  <c r="C76" i="2"/>
  <c r="C82" i="2" s="1"/>
  <c r="I65" i="2"/>
  <c r="I88" i="2"/>
  <c r="I76" i="2"/>
  <c r="I82" i="2" s="1"/>
  <c r="D64" i="2"/>
  <c r="D87" i="2"/>
  <c r="D75" i="2"/>
  <c r="D81" i="2" s="1"/>
  <c r="G55" i="3"/>
  <c r="G61" i="3" s="1"/>
  <c r="D55" i="2"/>
  <c r="D61" i="2" s="1"/>
  <c r="E52" i="3"/>
  <c r="E58" i="3" s="1"/>
  <c r="J60" i="3"/>
  <c r="I107" i="4"/>
  <c r="C51" i="2"/>
  <c r="C57" i="2" s="1"/>
  <c r="I99" i="3"/>
  <c r="J59" i="3"/>
  <c r="I60" i="3"/>
  <c r="F88" i="2"/>
  <c r="F65" i="2"/>
  <c r="F76" i="2"/>
  <c r="F82" i="2" s="1"/>
  <c r="F94" i="2" s="1"/>
  <c r="F100" i="2" s="1"/>
  <c r="D57" i="3"/>
  <c r="J107" i="4"/>
  <c r="C60" i="3"/>
  <c r="H60" i="4"/>
  <c r="C60" i="2"/>
  <c r="H59" i="4"/>
  <c r="C59" i="3"/>
  <c r="I100" i="3"/>
  <c r="H87" i="4"/>
  <c r="H64" i="4"/>
  <c r="H75" i="4"/>
  <c r="H81" i="4" s="1"/>
  <c r="H93" i="4" s="1"/>
  <c r="H99" i="4" s="1"/>
  <c r="G57" i="4"/>
  <c r="I66" i="3"/>
  <c r="I77" i="3"/>
  <c r="I83" i="3" s="1"/>
  <c r="I89" i="3"/>
  <c r="H99" i="3"/>
  <c r="J58" i="4"/>
  <c r="J58" i="3"/>
  <c r="E52" i="4"/>
  <c r="E58" i="4" s="1"/>
  <c r="D87" i="3"/>
  <c r="D64" i="3"/>
  <c r="D75" i="3"/>
  <c r="D81" i="3" s="1"/>
  <c r="G88" i="2"/>
  <c r="G76" i="2"/>
  <c r="G82" i="2" s="1"/>
  <c r="G65" i="2"/>
  <c r="I107" i="3"/>
  <c r="F52" i="3"/>
  <c r="F58" i="3" s="1"/>
  <c r="C64" i="3"/>
  <c r="C87" i="3"/>
  <c r="C75" i="3"/>
  <c r="C81" i="3" s="1"/>
  <c r="C55" i="3"/>
  <c r="C61" i="3" s="1"/>
  <c r="D54" i="3"/>
  <c r="D60" i="3" s="1"/>
  <c r="J61" i="3"/>
  <c r="G94" i="4"/>
  <c r="G100" i="4" s="1"/>
  <c r="D53" i="4"/>
  <c r="D59" i="4" s="1"/>
  <c r="J101" i="3"/>
  <c r="D58" i="2"/>
  <c r="E57" i="2"/>
  <c r="F99" i="3"/>
  <c r="G58" i="2"/>
  <c r="F60" i="2"/>
  <c r="F65" i="3"/>
  <c r="F76" i="3"/>
  <c r="F82" i="3" s="1"/>
  <c r="F88" i="3"/>
  <c r="B29" i="7"/>
  <c r="B39" i="7"/>
  <c r="B50" i="7" s="1"/>
  <c r="J59" i="4"/>
  <c r="C55" i="4"/>
  <c r="C61" i="4" s="1"/>
  <c r="E76" i="3"/>
  <c r="E82" i="3" s="1"/>
  <c r="E65" i="3"/>
  <c r="E88" i="3"/>
  <c r="E60" i="4"/>
  <c r="G60" i="4"/>
  <c r="C93" i="2"/>
  <c r="C99" i="2" s="1"/>
  <c r="F61" i="2"/>
  <c r="E95" i="2"/>
  <c r="E101" i="2" s="1"/>
  <c r="D58" i="3"/>
  <c r="H75" i="2"/>
  <c r="H81" i="2" s="1"/>
  <c r="H93" i="2" s="1"/>
  <c r="H99" i="2" s="1"/>
  <c r="H64" i="2"/>
  <c r="H87" i="2"/>
  <c r="J65" i="2"/>
  <c r="J88" i="2"/>
  <c r="J76" i="2"/>
  <c r="J82" i="2" s="1"/>
  <c r="J94" i="2" s="1"/>
  <c r="J100" i="2" s="1"/>
  <c r="E38" i="7"/>
  <c r="E49" i="7" s="1"/>
  <c r="E28" i="7"/>
  <c r="I61" i="4"/>
  <c r="D55" i="3"/>
  <c r="D61" i="3" s="1"/>
  <c r="C61" i="2"/>
  <c r="D38" i="7"/>
  <c r="D49" i="7" s="1"/>
  <c r="D28" i="7"/>
  <c r="I93" i="2"/>
  <c r="I99" i="2" s="1"/>
  <c r="H52" i="4"/>
  <c r="H58" i="4" s="1"/>
  <c r="G64" i="3"/>
  <c r="G87" i="3"/>
  <c r="G75" i="3"/>
  <c r="G81" i="3" s="1"/>
  <c r="H76" i="3"/>
  <c r="H82" i="3" s="1"/>
  <c r="H65" i="3"/>
  <c r="H88" i="3"/>
  <c r="J90" i="3"/>
  <c r="J67" i="3"/>
  <c r="J78" i="3"/>
  <c r="J84" i="3" s="1"/>
  <c r="I99" i="4"/>
  <c r="G77" i="4"/>
  <c r="G83" i="4" s="1"/>
  <c r="G89" i="4"/>
  <c r="G66" i="4"/>
  <c r="F61" i="3"/>
  <c r="C38" i="7"/>
  <c r="C49" i="7" s="1"/>
  <c r="C28" i="7"/>
  <c r="E57" i="3"/>
  <c r="I65" i="4"/>
  <c r="I88" i="4"/>
  <c r="I76" i="4"/>
  <c r="I82" i="4" s="1"/>
  <c r="E64" i="4"/>
  <c r="E87" i="4"/>
  <c r="E75" i="4"/>
  <c r="E81" i="4" s="1"/>
  <c r="E93" i="4" s="1"/>
  <c r="E99" i="4" s="1"/>
  <c r="G60" i="2"/>
  <c r="E55" i="4"/>
  <c r="E61" i="4" s="1"/>
  <c r="G52" i="4"/>
  <c r="G58" i="4" s="1"/>
  <c r="I52" i="3"/>
  <c r="I58" i="3" s="1"/>
  <c r="J94" i="3"/>
  <c r="J100" i="3" s="1"/>
  <c r="C75" i="4"/>
  <c r="C81" i="4" s="1"/>
  <c r="C64" i="4"/>
  <c r="C87" i="4"/>
  <c r="F64" i="4"/>
  <c r="F87" i="4"/>
  <c r="F75" i="4"/>
  <c r="F81" i="4" s="1"/>
  <c r="E54" i="3"/>
  <c r="E60" i="3" s="1"/>
  <c r="J57" i="3"/>
  <c r="I61" i="2"/>
  <c r="I107" i="2"/>
  <c r="F52" i="2"/>
  <c r="F58" i="2" s="1"/>
  <c r="I57" i="2"/>
  <c r="J99" i="3"/>
  <c r="F59" i="4"/>
  <c r="C57" i="3"/>
  <c r="H54" i="3"/>
  <c r="H60" i="3" s="1"/>
  <c r="J61" i="2"/>
  <c r="I61" i="3"/>
  <c r="E90" i="2"/>
  <c r="E78" i="2"/>
  <c r="E84" i="2" s="1"/>
  <c r="E96" i="2" s="1"/>
  <c r="E102" i="2" s="1"/>
  <c r="E67" i="2"/>
  <c r="C58" i="2"/>
  <c r="C93" i="3" l="1"/>
  <c r="C99" i="3" s="1"/>
  <c r="J96" i="3"/>
  <c r="J102" i="3" s="1"/>
  <c r="F93" i="4"/>
  <c r="F99" i="4" s="1"/>
  <c r="C93" i="4"/>
  <c r="C99" i="4" s="1"/>
  <c r="I66" i="2"/>
  <c r="I77" i="2"/>
  <c r="I83" i="2" s="1"/>
  <c r="I89" i="2"/>
  <c r="J66" i="2"/>
  <c r="J89" i="2"/>
  <c r="J77" i="2"/>
  <c r="J83" i="2" s="1"/>
  <c r="J95" i="2" s="1"/>
  <c r="J101" i="2" s="1"/>
  <c r="D93" i="3"/>
  <c r="D99" i="3" s="1"/>
  <c r="C94" i="2"/>
  <c r="C100" i="2" s="1"/>
  <c r="D88" i="3"/>
  <c r="D76" i="3"/>
  <c r="D82" i="3" s="1"/>
  <c r="D94" i="3" s="1"/>
  <c r="D100" i="3" s="1"/>
  <c r="D65" i="3"/>
  <c r="C77" i="2"/>
  <c r="C83" i="2" s="1"/>
  <c r="C66" i="2"/>
  <c r="C89" i="2"/>
  <c r="D76" i="2"/>
  <c r="D82" i="2" s="1"/>
  <c r="D65" i="2"/>
  <c r="D88" i="2"/>
  <c r="I94" i="2"/>
  <c r="I100" i="2" s="1"/>
  <c r="F94" i="3"/>
  <c r="F100" i="3" s="1"/>
  <c r="F77" i="3"/>
  <c r="F83" i="3" s="1"/>
  <c r="F89" i="3"/>
  <c r="F66" i="3"/>
  <c r="H94" i="3"/>
  <c r="H100" i="3" s="1"/>
  <c r="C29" i="7"/>
  <c r="C39" i="7"/>
  <c r="C50" i="7" s="1"/>
  <c r="G66" i="2"/>
  <c r="G89" i="2"/>
  <c r="G77" i="2"/>
  <c r="G83" i="2" s="1"/>
  <c r="G93" i="3"/>
  <c r="G99" i="3" s="1"/>
  <c r="I95" i="3"/>
  <c r="I101" i="3" s="1"/>
  <c r="J76" i="4"/>
  <c r="J82" i="4" s="1"/>
  <c r="J65" i="4"/>
  <c r="J88" i="4"/>
  <c r="D93" i="2"/>
  <c r="D99" i="2" s="1"/>
  <c r="G67" i="4"/>
  <c r="G90" i="4"/>
  <c r="G78" i="4"/>
  <c r="G84" i="4" s="1"/>
  <c r="G96" i="4" s="1"/>
  <c r="G102" i="4" s="1"/>
  <c r="J91" i="3"/>
  <c r="J79" i="3"/>
  <c r="J85" i="3" s="1"/>
  <c r="D93" i="4"/>
  <c r="D99" i="4" s="1"/>
  <c r="G94" i="2"/>
  <c r="G100" i="2" s="1"/>
  <c r="G95" i="4"/>
  <c r="G101" i="4" s="1"/>
  <c r="C88" i="4"/>
  <c r="C76" i="4"/>
  <c r="C82" i="4" s="1"/>
  <c r="C65" i="4"/>
  <c r="H76" i="4"/>
  <c r="H82" i="4" s="1"/>
  <c r="H65" i="4"/>
  <c r="H88" i="4"/>
  <c r="B30" i="7"/>
  <c r="B40" i="7"/>
  <c r="B51" i="7" s="1"/>
  <c r="F65" i="4"/>
  <c r="F76" i="4"/>
  <c r="F82" i="4" s="1"/>
  <c r="F88" i="4"/>
  <c r="E91" i="2"/>
  <c r="E79" i="2"/>
  <c r="E85" i="2" s="1"/>
  <c r="D88" i="4"/>
  <c r="D76" i="4"/>
  <c r="D82" i="4" s="1"/>
  <c r="D94" i="4" s="1"/>
  <c r="D100" i="4" s="1"/>
  <c r="D65" i="4"/>
  <c r="G76" i="3"/>
  <c r="G82" i="3" s="1"/>
  <c r="G65" i="3"/>
  <c r="G88" i="3"/>
  <c r="E76" i="4"/>
  <c r="E82" i="4" s="1"/>
  <c r="E88" i="4"/>
  <c r="E65" i="4"/>
  <c r="E66" i="3"/>
  <c r="E89" i="3"/>
  <c r="E77" i="3"/>
  <c r="E83" i="3" s="1"/>
  <c r="E95" i="3" s="1"/>
  <c r="E101" i="3" s="1"/>
  <c r="I94" i="4"/>
  <c r="I100" i="4" s="1"/>
  <c r="D29" i="7"/>
  <c r="D39" i="7"/>
  <c r="D50" i="7" s="1"/>
  <c r="E94" i="3"/>
  <c r="E100" i="3" s="1"/>
  <c r="E29" i="7"/>
  <c r="E39" i="7"/>
  <c r="E50" i="7" s="1"/>
  <c r="H76" i="2"/>
  <c r="H82" i="2" s="1"/>
  <c r="H88" i="2"/>
  <c r="H65" i="2"/>
  <c r="F66" i="2"/>
  <c r="F89" i="2"/>
  <c r="F77" i="2"/>
  <c r="F83" i="2" s="1"/>
  <c r="F95" i="2" s="1"/>
  <c r="F101" i="2" s="1"/>
  <c r="C88" i="3"/>
  <c r="C76" i="3"/>
  <c r="C82" i="3" s="1"/>
  <c r="C65" i="3"/>
  <c r="H66" i="3"/>
  <c r="H89" i="3"/>
  <c r="H77" i="3"/>
  <c r="H83" i="3" s="1"/>
  <c r="I90" i="3"/>
  <c r="I67" i="3"/>
  <c r="I78" i="3"/>
  <c r="I84" i="3" s="1"/>
  <c r="I77" i="4"/>
  <c r="I83" i="4" s="1"/>
  <c r="I66" i="4"/>
  <c r="I89" i="4"/>
  <c r="E97" i="2" l="1"/>
  <c r="D94" i="2"/>
  <c r="D100" i="2" s="1"/>
  <c r="H95" i="3"/>
  <c r="H101" i="3" s="1"/>
  <c r="C94" i="3"/>
  <c r="C100" i="3" s="1"/>
  <c r="E94" i="4"/>
  <c r="E100" i="4" s="1"/>
  <c r="C94" i="4"/>
  <c r="C100" i="4" s="1"/>
  <c r="C30" i="7"/>
  <c r="C40" i="7"/>
  <c r="C51" i="7" s="1"/>
  <c r="J78" i="2"/>
  <c r="J84" i="2" s="1"/>
  <c r="J90" i="2"/>
  <c r="J67" i="2"/>
  <c r="B31" i="7"/>
  <c r="B42" i="7" s="1"/>
  <c r="B41" i="7"/>
  <c r="B52" i="7" s="1"/>
  <c r="C77" i="3"/>
  <c r="C83" i="3" s="1"/>
  <c r="C89" i="3"/>
  <c r="C66" i="3"/>
  <c r="F95" i="3"/>
  <c r="F101" i="3" s="1"/>
  <c r="I78" i="2"/>
  <c r="I84" i="2" s="1"/>
  <c r="I90" i="2"/>
  <c r="I67" i="2"/>
  <c r="H94" i="2"/>
  <c r="H100" i="2" s="1"/>
  <c r="G95" i="2"/>
  <c r="G101" i="2" s="1"/>
  <c r="E67" i="3"/>
  <c r="E78" i="3"/>
  <c r="E84" i="3" s="1"/>
  <c r="E90" i="3"/>
  <c r="G78" i="2"/>
  <c r="G84" i="2" s="1"/>
  <c r="G90" i="2"/>
  <c r="G67" i="2"/>
  <c r="C77" i="4"/>
  <c r="C83" i="4" s="1"/>
  <c r="C66" i="4"/>
  <c r="C89" i="4"/>
  <c r="G77" i="3"/>
  <c r="G83" i="3" s="1"/>
  <c r="G89" i="3"/>
  <c r="G66" i="3"/>
  <c r="D77" i="2"/>
  <c r="D83" i="2" s="1"/>
  <c r="D89" i="2"/>
  <c r="D66" i="2"/>
  <c r="I90" i="4"/>
  <c r="I78" i="4"/>
  <c r="I84" i="4" s="1"/>
  <c r="I96" i="4" s="1"/>
  <c r="I102" i="4" s="1"/>
  <c r="I67" i="4"/>
  <c r="E30" i="7"/>
  <c r="E40" i="7"/>
  <c r="E51" i="7" s="1"/>
  <c r="F90" i="3"/>
  <c r="F78" i="3"/>
  <c r="F84" i="3" s="1"/>
  <c r="F96" i="3" s="1"/>
  <c r="F102" i="3" s="1"/>
  <c r="F67" i="3"/>
  <c r="F78" i="2"/>
  <c r="F84" i="2" s="1"/>
  <c r="F67" i="2"/>
  <c r="F90" i="2"/>
  <c r="J97" i="3"/>
  <c r="J103" i="3" s="1"/>
  <c r="J105" i="3" s="1"/>
  <c r="J109" i="3" s="1"/>
  <c r="H89" i="2"/>
  <c r="H77" i="2"/>
  <c r="H83" i="2" s="1"/>
  <c r="H66" i="2"/>
  <c r="D89" i="4"/>
  <c r="D66" i="4"/>
  <c r="D77" i="4"/>
  <c r="D83" i="4" s="1"/>
  <c r="F94" i="4"/>
  <c r="F100" i="4" s="1"/>
  <c r="J77" i="4"/>
  <c r="J83" i="4" s="1"/>
  <c r="J89" i="4"/>
  <c r="J66" i="4"/>
  <c r="C95" i="2"/>
  <c r="C101" i="2" s="1"/>
  <c r="H77" i="4"/>
  <c r="H83" i="4" s="1"/>
  <c r="H66" i="4"/>
  <c r="H89" i="4"/>
  <c r="H94" i="4"/>
  <c r="H100" i="4" s="1"/>
  <c r="E77" i="4"/>
  <c r="E83" i="4" s="1"/>
  <c r="E89" i="4"/>
  <c r="E66" i="4"/>
  <c r="I95" i="4"/>
  <c r="I101" i="4" s="1"/>
  <c r="C90" i="2"/>
  <c r="C78" i="2"/>
  <c r="C84" i="2" s="1"/>
  <c r="C96" i="2" s="1"/>
  <c r="C102" i="2" s="1"/>
  <c r="C67" i="2"/>
  <c r="I96" i="3"/>
  <c r="I102" i="3" s="1"/>
  <c r="D40" i="7"/>
  <c r="D51" i="7" s="1"/>
  <c r="D30" i="7"/>
  <c r="F77" i="4"/>
  <c r="F83" i="4" s="1"/>
  <c r="F66" i="4"/>
  <c r="F89" i="4"/>
  <c r="J94" i="4"/>
  <c r="J100" i="4" s="1"/>
  <c r="H78" i="3"/>
  <c r="H84" i="3" s="1"/>
  <c r="H90" i="3"/>
  <c r="H67" i="3"/>
  <c r="I95" i="2"/>
  <c r="I101" i="2" s="1"/>
  <c r="G94" i="3"/>
  <c r="G100" i="3" s="1"/>
  <c r="G79" i="4"/>
  <c r="G85" i="4" s="1"/>
  <c r="G91" i="4"/>
  <c r="E106" i="2"/>
  <c r="E107" i="2" s="1"/>
  <c r="E103" i="2"/>
  <c r="E105" i="2" s="1"/>
  <c r="I79" i="3"/>
  <c r="I85" i="3" s="1"/>
  <c r="I91" i="3"/>
  <c r="D77" i="3"/>
  <c r="D83" i="3" s="1"/>
  <c r="D89" i="3"/>
  <c r="D66" i="3"/>
  <c r="C95" i="3" l="1"/>
  <c r="C101" i="3" s="1"/>
  <c r="H96" i="3"/>
  <c r="H102" i="3" s="1"/>
  <c r="J95" i="4"/>
  <c r="J101" i="4" s="1"/>
  <c r="E109" i="2"/>
  <c r="F95" i="4"/>
  <c r="F101" i="4" s="1"/>
  <c r="C31" i="7"/>
  <c r="C42" i="7" s="1"/>
  <c r="C41" i="7"/>
  <c r="C52" i="7" s="1"/>
  <c r="G91" i="2"/>
  <c r="G79" i="2"/>
  <c r="G85" i="2" s="1"/>
  <c r="G97" i="2" s="1"/>
  <c r="D67" i="4"/>
  <c r="D90" i="4"/>
  <c r="D78" i="4"/>
  <c r="D84" i="4" s="1"/>
  <c r="C67" i="4"/>
  <c r="C90" i="4"/>
  <c r="C78" i="4"/>
  <c r="C84" i="4" s="1"/>
  <c r="C96" i="4" s="1"/>
  <c r="C102" i="4" s="1"/>
  <c r="G96" i="2"/>
  <c r="G102" i="2" s="1"/>
  <c r="E96" i="3"/>
  <c r="E102" i="3" s="1"/>
  <c r="I79" i="2"/>
  <c r="I85" i="2" s="1"/>
  <c r="I91" i="2"/>
  <c r="J79" i="2"/>
  <c r="J85" i="2" s="1"/>
  <c r="J91" i="2"/>
  <c r="F79" i="2"/>
  <c r="F85" i="2" s="1"/>
  <c r="F91" i="2"/>
  <c r="G90" i="3"/>
  <c r="G78" i="3"/>
  <c r="G84" i="3" s="1"/>
  <c r="G96" i="3" s="1"/>
  <c r="G102" i="3" s="1"/>
  <c r="G67" i="3"/>
  <c r="E31" i="7"/>
  <c r="E42" i="7" s="1"/>
  <c r="E41" i="7"/>
  <c r="E52" i="7" s="1"/>
  <c r="B54" i="7"/>
  <c r="B57" i="7" s="1"/>
  <c r="B58" i="7" s="1"/>
  <c r="B59" i="7" s="1"/>
  <c r="B60" i="7" s="1"/>
  <c r="G95" i="3"/>
  <c r="G101" i="3" s="1"/>
  <c r="H78" i="2"/>
  <c r="H84" i="2" s="1"/>
  <c r="H90" i="2"/>
  <c r="H67" i="2"/>
  <c r="J96" i="2"/>
  <c r="J102" i="2" s="1"/>
  <c r="H95" i="2"/>
  <c r="H101" i="2" s="1"/>
  <c r="C79" i="2"/>
  <c r="C85" i="2" s="1"/>
  <c r="C91" i="2"/>
  <c r="C95" i="4"/>
  <c r="C101" i="4" s="1"/>
  <c r="D67" i="3"/>
  <c r="D78" i="3"/>
  <c r="D84" i="3" s="1"/>
  <c r="D96" i="3" s="1"/>
  <c r="D102" i="3" s="1"/>
  <c r="D90" i="3"/>
  <c r="G97" i="4"/>
  <c r="I79" i="4"/>
  <c r="I85" i="4" s="1"/>
  <c r="I91" i="4"/>
  <c r="I96" i="2"/>
  <c r="I102" i="2" s="1"/>
  <c r="E90" i="4"/>
  <c r="E78" i="4"/>
  <c r="E84" i="4" s="1"/>
  <c r="E96" i="4" s="1"/>
  <c r="E102" i="4" s="1"/>
  <c r="E67" i="4"/>
  <c r="E79" i="3"/>
  <c r="E85" i="3" s="1"/>
  <c r="E91" i="3"/>
  <c r="H67" i="4"/>
  <c r="H90" i="4"/>
  <c r="H78" i="4"/>
  <c r="H84" i="4" s="1"/>
  <c r="H96" i="4" s="1"/>
  <c r="H102" i="4" s="1"/>
  <c r="H95" i="4"/>
  <c r="H101" i="4" s="1"/>
  <c r="H79" i="3"/>
  <c r="H85" i="3" s="1"/>
  <c r="H91" i="3"/>
  <c r="J90" i="4"/>
  <c r="J78" i="4"/>
  <c r="J84" i="4" s="1"/>
  <c r="J96" i="4" s="1"/>
  <c r="J102" i="4" s="1"/>
  <c r="J67" i="4"/>
  <c r="C90" i="3"/>
  <c r="C78" i="3"/>
  <c r="C84" i="3" s="1"/>
  <c r="C67" i="3"/>
  <c r="D95" i="2"/>
  <c r="D101" i="2" s="1"/>
  <c r="F90" i="4"/>
  <c r="F78" i="4"/>
  <c r="F84" i="4" s="1"/>
  <c r="F67" i="4"/>
  <c r="D95" i="4"/>
  <c r="D101" i="4" s="1"/>
  <c r="B55" i="7"/>
  <c r="B56" i="7" s="1"/>
  <c r="B53" i="7"/>
  <c r="D31" i="7"/>
  <c r="D42" i="7" s="1"/>
  <c r="D41" i="7"/>
  <c r="D52" i="7" s="1"/>
  <c r="D95" i="3"/>
  <c r="D101" i="3" s="1"/>
  <c r="F96" i="2"/>
  <c r="F102" i="2" s="1"/>
  <c r="I97" i="3"/>
  <c r="I103" i="3" s="1"/>
  <c r="I105" i="3" s="1"/>
  <c r="I109" i="3" s="1"/>
  <c r="F79" i="3"/>
  <c r="F85" i="3" s="1"/>
  <c r="F91" i="3"/>
  <c r="E95" i="4"/>
  <c r="E101" i="4" s="1"/>
  <c r="D90" i="2"/>
  <c r="D78" i="2"/>
  <c r="D84" i="2" s="1"/>
  <c r="D96" i="2" s="1"/>
  <c r="D102" i="2" s="1"/>
  <c r="D67" i="2"/>
  <c r="D96" i="4" l="1"/>
  <c r="D102" i="4" s="1"/>
  <c r="H96" i="2"/>
  <c r="H102" i="2" s="1"/>
  <c r="J97" i="2"/>
  <c r="J103" i="2" s="1"/>
  <c r="J105" i="2" s="1"/>
  <c r="J109" i="2" s="1"/>
  <c r="C79" i="4"/>
  <c r="C85" i="4" s="1"/>
  <c r="C91" i="4"/>
  <c r="G103" i="2"/>
  <c r="G105" i="2" s="1"/>
  <c r="G106" i="2"/>
  <c r="G107" i="2" s="1"/>
  <c r="C97" i="2"/>
  <c r="H79" i="2"/>
  <c r="H85" i="2" s="1"/>
  <c r="H91" i="2"/>
  <c r="H79" i="4"/>
  <c r="H85" i="4" s="1"/>
  <c r="H91" i="4"/>
  <c r="E97" i="3"/>
  <c r="E79" i="4"/>
  <c r="E85" i="4" s="1"/>
  <c r="E91" i="4"/>
  <c r="J91" i="4"/>
  <c r="J79" i="4"/>
  <c r="J85" i="4" s="1"/>
  <c r="J97" i="4" s="1"/>
  <c r="J103" i="4" s="1"/>
  <c r="J105" i="4" s="1"/>
  <c r="J109" i="4" s="1"/>
  <c r="G91" i="3"/>
  <c r="G79" i="3"/>
  <c r="G85" i="3" s="1"/>
  <c r="G97" i="3" s="1"/>
  <c r="F96" i="4"/>
  <c r="F102" i="4" s="1"/>
  <c r="C55" i="7"/>
  <c r="C56" i="7" s="1"/>
  <c r="C53" i="7"/>
  <c r="C54" i="7" s="1"/>
  <c r="I97" i="4"/>
  <c r="I103" i="4" s="1"/>
  <c r="I105" i="4" s="1"/>
  <c r="I109" i="4" s="1"/>
  <c r="C79" i="3"/>
  <c r="C85" i="3" s="1"/>
  <c r="C91" i="3"/>
  <c r="C96" i="3"/>
  <c r="C102" i="3" s="1"/>
  <c r="G106" i="4"/>
  <c r="G107" i="4" s="1"/>
  <c r="G103" i="4"/>
  <c r="G105" i="4" s="1"/>
  <c r="F97" i="2"/>
  <c r="D91" i="3"/>
  <c r="D79" i="3"/>
  <c r="D85" i="3" s="1"/>
  <c r="I97" i="2"/>
  <c r="I103" i="2" s="1"/>
  <c r="I105" i="2" s="1"/>
  <c r="I109" i="2" s="1"/>
  <c r="H97" i="3"/>
  <c r="F97" i="3"/>
  <c r="D55" i="7"/>
  <c r="D56" i="7" s="1"/>
  <c r="D53" i="7"/>
  <c r="D54" i="7" s="1"/>
  <c r="D57" i="7" s="1"/>
  <c r="D58" i="7" s="1"/>
  <c r="D59" i="7" s="1"/>
  <c r="D60" i="7" s="1"/>
  <c r="D79" i="4"/>
  <c r="D85" i="4" s="1"/>
  <c r="D97" i="4" s="1"/>
  <c r="D91" i="4"/>
  <c r="E55" i="7"/>
  <c r="E56" i="7" s="1"/>
  <c r="E53" i="7"/>
  <c r="E54" i="7" s="1"/>
  <c r="E57" i="7" s="1"/>
  <c r="E58" i="7" s="1"/>
  <c r="E59" i="7" s="1"/>
  <c r="E60" i="7" s="1"/>
  <c r="F79" i="4"/>
  <c r="F85" i="4" s="1"/>
  <c r="F91" i="4"/>
  <c r="D79" i="2"/>
  <c r="D85" i="2" s="1"/>
  <c r="D91" i="2"/>
  <c r="G109" i="2" l="1"/>
  <c r="C97" i="3"/>
  <c r="H97" i="4"/>
  <c r="H97" i="2"/>
  <c r="C103" i="2"/>
  <c r="C105" i="2" s="1"/>
  <c r="C106" i="2"/>
  <c r="C107" i="2" s="1"/>
  <c r="G103" i="3"/>
  <c r="G105" i="3" s="1"/>
  <c r="G106" i="3"/>
  <c r="G107" i="3" s="1"/>
  <c r="F103" i="2"/>
  <c r="F105" i="2" s="1"/>
  <c r="F109" i="2" s="1"/>
  <c r="F106" i="2"/>
  <c r="F107" i="2" s="1"/>
  <c r="F97" i="4"/>
  <c r="H106" i="3"/>
  <c r="H107" i="3" s="1"/>
  <c r="H103" i="3"/>
  <c r="H105" i="3" s="1"/>
  <c r="H109" i="3" s="1"/>
  <c r="G109" i="4"/>
  <c r="C97" i="4"/>
  <c r="D106" i="4"/>
  <c r="D107" i="4" s="1"/>
  <c r="D103" i="4"/>
  <c r="D105" i="4" s="1"/>
  <c r="F103" i="3"/>
  <c r="F105" i="3" s="1"/>
  <c r="F106" i="3"/>
  <c r="F107" i="3" s="1"/>
  <c r="E97" i="4"/>
  <c r="E106" i="3"/>
  <c r="E107" i="3" s="1"/>
  <c r="E103" i="3"/>
  <c r="E105" i="3" s="1"/>
  <c r="D97" i="3"/>
  <c r="C103" i="3"/>
  <c r="C105" i="3" s="1"/>
  <c r="C109" i="3" s="1"/>
  <c r="C106" i="3"/>
  <c r="C107" i="3" s="1"/>
  <c r="D97" i="2"/>
  <c r="C57" i="7"/>
  <c r="C58" i="7" s="1"/>
  <c r="C59" i="7" s="1"/>
  <c r="C60" i="7" s="1"/>
  <c r="D106" i="3" l="1"/>
  <c r="D107" i="3" s="1"/>
  <c r="D103" i="3"/>
  <c r="D105" i="3" s="1"/>
  <c r="D109" i="3" s="1"/>
  <c r="E106" i="4"/>
  <c r="E107" i="4" s="1"/>
  <c r="E103" i="4"/>
  <c r="E105" i="4" s="1"/>
  <c r="E109" i="4" s="1"/>
  <c r="C106" i="4"/>
  <c r="C107" i="4" s="1"/>
  <c r="C103" i="4"/>
  <c r="C105" i="4" s="1"/>
  <c r="F109" i="3"/>
  <c r="F106" i="4"/>
  <c r="F107" i="4" s="1"/>
  <c r="F103" i="4"/>
  <c r="F105" i="4" s="1"/>
  <c r="G109" i="3"/>
  <c r="D109" i="4"/>
  <c r="E109" i="3"/>
  <c r="D103" i="2"/>
  <c r="D105" i="2" s="1"/>
  <c r="D106" i="2"/>
  <c r="D107" i="2" s="1"/>
  <c r="C109" i="2"/>
  <c r="K109" i="3"/>
  <c r="K119" i="3" s="1"/>
  <c r="K122" i="3" s="1"/>
  <c r="B17" i="6" s="1"/>
  <c r="K110" i="3"/>
  <c r="H106" i="2"/>
  <c r="H107" i="2" s="1"/>
  <c r="H103" i="2"/>
  <c r="H105" i="2" s="1"/>
  <c r="H106" i="4"/>
  <c r="H107" i="4" s="1"/>
  <c r="H103" i="4"/>
  <c r="H105" i="4" s="1"/>
  <c r="C109" i="4" l="1"/>
  <c r="H109" i="4"/>
  <c r="F109" i="4"/>
  <c r="H109" i="2"/>
  <c r="E17" i="6"/>
  <c r="K110" i="4"/>
  <c r="K109" i="4"/>
  <c r="K119" i="4" s="1"/>
  <c r="K122" i="4" s="1"/>
  <c r="B19" i="6" s="1"/>
  <c r="E19" i="6" s="1"/>
  <c r="D109" i="2"/>
  <c r="K110" i="2" s="1"/>
  <c r="K109" i="2" l="1"/>
  <c r="K119" i="2" s="1"/>
  <c r="K122" i="2" s="1"/>
  <c r="B18" i="6" s="1"/>
  <c r="E18" i="6" l="1"/>
  <c r="E21" i="6"/>
  <c r="B21" i="6"/>
</calcChain>
</file>

<file path=xl/sharedStrings.xml><?xml version="1.0" encoding="utf-8"?>
<sst xmlns="http://schemas.openxmlformats.org/spreadsheetml/2006/main" count="652" uniqueCount="342">
  <si>
    <t>FinSurf — SOTP-DCF Inputs</t>
  </si>
  <si>
    <t>Phase 2 v3 — per-Segment WACC (Damodaran β), shared D/E + tax. Column C = Reasoning.</t>
  </si>
  <si>
    <t>── Company ──</t>
  </si>
  <si>
    <t>Company</t>
  </si>
  <si>
    <t>Stellantis N.V.</t>
  </si>
  <si>
    <t>Ticker</t>
  </si>
  <si>
    <t>STLA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</si>
  <si>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</si>
  <si>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</si>
  <si>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</si>
  <si>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</si>
  <si>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</si>
  <si>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</si>
  <si>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</si>
  <si>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</si>
  <si>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</si>
  <si>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</si>
  <si>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</si>
  <si>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</si>
  <si>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</si>
  <si>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EUR Bund 10y ca. Dez 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</si>
  <si>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</si>
  <si>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</si>
  <si>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</si>
  <si>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</si>
  <si>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</si>
  <si>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</si>
  <si>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</si>
  <si>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</si>
  <si>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</si>
  <si>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</si>
  <si>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NA 40% × 0% + Europa 38% × 0% + Latam 11% × 2,5% + MEA 6% × 2,0% + EM-Asia 5% × 1,5% = 0,275% + 0,12% + 0,075% ≈ 47bps → ~0,8%</t>
  </si>
  <si>
    <t>Specific Risk Premium</t>
  </si>
  <si>
    <t>Governance/Konzentrations-Risiko: aktuelle Führungsvakanz nach CEO-Wechsel, laufender Board-Reset, hohe Abhängigkeit von Schlüssel-Entscheidungen (Produktplan-Reset). Keine Mehrheitskontrolle durch einzelnen Aktionär aber Exor/Agnelli-Familie strukturell einflussreich.</t>
  </si>
  <si>
    <t>Cost of Equity Group [calc, ≥ Kd + Nachrang-Spread]</t>
  </si>
  <si>
    <t>Cost of Debt pre-tax (Kd)</t>
  </si>
  <si>
    <t>Industrielle Finanzschulden ~€22,2B (ex-Leases). Net Financial Expense FY2025 = €351M (netto nach Zinserträgen). Zinserträge auf €29,3B Cash bei ~2% = ~€586M. Bruttozinsaufwand ~€937M auf ~€22,2B = implizit ~4,2%. Kd 4,2% mit Investment-Grade-Rating Stellantis ca. BBB-Range. reported_interest_expense_m geschätzt ~€1,1B (konservativ). [Kd-ANKER: gezahlter Satz 4.47%]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</si>
  <si>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</si>
  <si>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</si>
  <si>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</si>
  <si>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</si>
  <si>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</si>
  <si>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</si>
  <si>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</si>
  <si>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</si>
  <si>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</si>
  <si>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</si>
  <si>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</si>
  <si>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</si>
  <si>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</si>
  <si>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</si>
  <si>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</si>
  <si>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16,675 Mio EUR (STLA)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</si>
  <si>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</si>
  <si>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</si>
  <si>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North America</t>
  </si>
  <si>
    <t>Enlarged Europe</t>
  </si>
  <si>
    <t>Middle East &amp; Africa</t>
  </si>
  <si>
    <t>South America</t>
  </si>
  <si>
    <t>China and India &amp; Asia Pacific</t>
  </si>
  <si>
    <t>Maserati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</si>
  <si>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</si>
  <si>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</si>
  <si>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</si>
  <si>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</si>
  <si>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</si>
  <si>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</si>
  <si>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</si>
  <si>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</si>
  <si>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</si>
  <si>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</si>
  <si>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</si>
  <si>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</si>
  <si>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</si>
  <si>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</si>
  <si>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</si>
  <si>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</si>
  <si>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</si>
  <si>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</si>
  <si>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Management-Guidance FY2026: Group Net Revenues 'mid-single digit %' — NA ist der Haupt-Wachstumstreiber durch 4 neue 2026-Produkte (Jeep Cherokee, Grand Wagoneer, Jeep Recon, Ram SRT TRX) sowie Rückkehr von HEMI V8. Order Book NA per Dez '25 um +150% yoy auf ~3 Monate Reichweite gestiegen. Demonstrated revenue CAGR 2Y = ca. +2% (von €63,5B 2024 auf €61,0B 2025 = -4%, aber H2 25 bereits +31% yoy). Modelliert 5% flat für 5J (innerhalb mid-single-digit-Guidance), gestützt durch die Produkt-Pipel...</t>
  </si>
  <si>
    <t>EE Shipments FY2025 -3% yoy (2.490k vs 2.576k). H2 Auftragseingang +13% yoy, Q4 +23% yoy — positive Wende. Leapmotor Smart Car Rollout rampiert. CO2-Compliance-Kosten FY2025 waren One-time (€0,5B für gesamtes FY). Neue B-Segment und C-SUV Produkte (Citroën C5 Aircross, Jeep Compass) in 2026. Group-Guidance mid-single-digit = 3-5%; EE-Beitrag konservativer (Wettbewerbsdruck, Marktanteilsverlust an asiatischen OEMs). 3% CAGR. Demonstrierte CAGR 2Y negativ → modelliert bewusst niedrig (Evidenz f...</t>
  </si>
  <si>
    <t>MEA Shipments +9% yoy kombiniert (FY2025). Türkiye LCV-Produktion als Regional-Hub, Algier-Expansion (&gt;80% Marktanteil), Micromobility. Revenue FY2025 -4% yoy wegen negativer FX-Translation (TL). Forward: lokale Nachfrage wächst; 4% CAGR (TL-FX-Drag bleibt, dämpft EUR-Ausweis, aber organisch stärker). Demonstrated Revenue CAGR 2Y = -4% wegen FX — lokales Wachstum höher.</t>
  </si>
  <si>
    <t>SA Shipments +10% yoy (FY2025). Argentinien-Wachstum (Peso-Inflationseffekte), Brasilien stabil. Ram Dakota erstes volles Jahr 2026. Revenue in EUR leicht gedrückt (-2% yoy FX-Translation). Organic ~5%+ lokal, EUR-Ausweis ~3% nach FX. Demonstrated 2Y-CAGR EUR-Basis ca. +1% (€16,2B vs. €15,9B). Group-Guidance mid-single-digit — SA-Contribution moderat durch BRL/ARS Headwinds. 3% CAGR.</t>
  </si>
  <si>
    <t>CIAP Shipments +14% yoy H2 2025, Combined Sales +0% FY2025. China-Markt schwierig (-18% Industrie yoy für Stellantis-relevante Segmente). Revenue FY2025 -6% yoy. Leapmotor-Portfolio-Erweiterung und RAM-Trucks als Nischen-Treiber. 4% CAGR konservativ (kleinste Segment, China strukturell schwierig für westliche OEMs).</t>
  </si>
  <si>
    <t>Maserati Revenue -30% FY2025, -26% vs H2 2024. Produktportfolio wird dramatisch geschrumpft (nicht profitable Modelle gestrichen). Kein explizites Wachstumsziel für Maserati kommuniziert. -5% CAGR = moderate weitere Schrumpfung bevor Stabilisierung mit neuem fokussiertem Portfolio (SRT/AM-Division). Revenue kann sich stabilisieren wenn Volumen-Skalierung aufgegeben wird und auf hochpreisige Nische gesetzt wird.</t>
  </si>
  <si>
    <t>Margin-Reasoning (Review-Call-Audit)</t>
  </si>
  <si>
    <t>Reported IFRS EBIT-Marge FY2025 = -31,7% (Operating Income NA = AOI -€1,892M minus Adjustments -€17,464M = -€19,356M / €60,962M). One-off Add-back: +28,6pp = (Platform Impairments €5.700M + Produktplan-Cancellations €6.528M + Warranty-Schätzungsänderung €3.252M + Battery-JV-Rationalisierung €1.571M + CAFE €0.269M + Takata €0M für NA (liegt in EE) + other €0.161M - recurring Restructuring €0.017M) / €60.962M. Run-Rate = -31,7% + 28,6pp = -3,1% (= AOI-Marge, konsistent). Y1 2026 = -3,1% Basis +...</t>
  </si>
  <si>
    <t>Reported IFRS EBIT EE = AOI -€651M - Adjustments €6,491M = -€7,142M / €57,773M = -12,4%. One-off Add-back = +11,3pp: Produktplan-Cancellations €2,211M + Hydrogen €1,094M + Battery-JVs €483M + Warranty €878M + Takata €590M + Platform-Impairments €270M + Impairments €79M + Türkiye-Disposal €246M + Other €25M = €5,876M (one-off non-recurring) minus Restructuring €861M (RECURRING — mehres aufeinanderfolgendes Jahr, Wiederholung FY2024 €1,027M) / €57,773M. Run-Rate AOI: -1,1% Basis. Recurring Rest...</t>
  </si>
  <si>
    <t>Reported IFRS EBIT-Marge MEA = AOI €1,429M - Adjustments €284M = €1,145M / €9,709M = 11,8% ≈ IFRS-Basis. Y1 11,0% (leichter Rückgang von 11,8% durch anhaltenden TL-Druck und geringere Algier-Pricing-Power nach Normalisierung). FY2024 18,8% war FX-/Boom-infliert (TL-Preiserhöhungen überkompensierten kostenseitig). FY2025 14,7% AOI bereits normalisierender. IFRS 11,8% mit Adjustments €284M = Türkiye-Disposal €246M + Restructuring €2M + Takata €27M + Other €1M — teils One-offs, teils recurring....</t>
  </si>
  <si>
    <t>Reported IFRS EBIT SA = AOI €1,963M - Adjustments €308M = €1,655M / €16,197M = 10,2%. One-off Add-back: Restructuring €17M recurring, Other = -€35M (Gewinn auf Disposal, einmalig negativ). Netto add-back: €308M - €17M recurring + €35M Disposal-Gewinn = ~€308M; bereinigt 10,2% + ~1,9pp One-offs = Run-rate ~12,1% (= AOI). Y1 10,5%: ARS-Hyperinflation bereinigt nach Stabilisierung, BRL-Devaluation Druck bleibt. FY2024 14,3% war boom (ARS-Hyperinflation pumpte nominale Margen). FY2025 12,1% berei...</t>
  </si>
  <si>
    <t>Reported IFRS EBIT = AOI €74M - Adjustments -€8M (negative Adjustments = Gewinne auf Beteiligungen) = €82M / €1,868M = 4,4%. Y1 4,0% (leicht unter IFRS wegen recurring FX-Headwinds China). AOI-Marge = 4,0%. One-off Add-back: -0,5pp (Beteiligungsgewinn €9M war einmalig positiv → add-back negativ). Y5 4,0% = flat; keine dokumentierte Margen-Expansionstrajektorie; China weiterhin wettbewerbsintensiv für westliche OEMs. Country-Risk-Premium: China ~0,8%.</t>
  </si>
  <si>
    <t>Reported IFRS EBIT Maserati = AOI -€198M - Adjustments €620M = -€818M / €726M = -112,7%. One-off Add-back: Platform Impairments €613M + Other €3M + Product Plan Cancellations €3M + Restructuring €4M (recurring, klein) + Impairment netto €1M (FY2024 hatte €514M Goodwill-Impairment, FY2025 Platform €613M + €61M H2) = netto ~€613M non-recurring + €3M ≈ 85,5pp / €726M Revenue. Run-Rate AOI = -112,7% + 85,5pp = -27,3% (= AOI-Marge). Y1 -18,0%: Produktfolio schrumpft weiter (niedrigere Fixkosten-Ab...</t>
  </si>
  <si>
    <t>Multiple-Gate (implied vs Sektor-Ceiling)</t>
  </si>
  <si>
    <t>ok: EV/EBITDA 6.3x &lt;= 1.8x x Median 9.4x (auto_oem)</t>
  </si>
  <si>
    <t>WARN: EV/EBITDA 0.7x &lt; 0.4x Median 9.4x — Distress oder Input pruefen (kein Clamp)</t>
  </si>
  <si>
    <t>ok: EV/EBITDA 6.2x &lt;= 1.1x x Median 9.4x (auto_oem)</t>
  </si>
  <si>
    <t>ok: EV/EBITDA 6.6x &lt;= 1.1x x Median 9.4x (auto_oem)</t>
  </si>
  <si>
    <t>ok: EV/EBITDA 7.0x &lt;= 1.1x x Median 9.4x (auto_oem)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</si>
  <si>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</si>
  <si>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</si>
  <si>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</si>
  <si>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</si>
  <si>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</si>
  <si>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</si>
  <si>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</si>
  <si>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</si>
  <si>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</si>
  <si>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</si>
  <si>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</si>
  <si>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</si>
  <si>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</si>
  <si>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</si>
  <si>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</si>
  <si>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</si>
  <si>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</si>
  <si>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</si>
  <si>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</si>
  <si>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</si>
  <si>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</si>
  <si>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</si>
  <si>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</si>
  <si>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</si>
  <si>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</si>
  <si>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</si>
  <si>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</si>
  <si>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</si>
  <si>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</si>
  <si>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</si>
  <si>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</si>
  <si>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</si>
  <si>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</si>
  <si>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</si>
  <si>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</si>
  <si>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</si>
  <si>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</si>
  <si>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</si>
  <si>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</si>
  <si>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</si>
  <si>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</si>
  <si>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</si>
  <si>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</si>
  <si>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</si>
  <si>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</si>
  <si>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</si>
  <si>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</si>
  <si>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</si>
  <si>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</si>
  <si>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</si>
  <si>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</si>
  <si>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</si>
  <si>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</si>
  <si>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</si>
  <si>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</si>
  <si>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</si>
  <si>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</si>
  <si>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</si>
  <si>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</si>
  <si>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</si>
  <si>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</si>
  <si>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</si>
  <si>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</si>
  <si>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</si>
  <si>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</si>
  <si>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</si>
  <si>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</si>
  <si>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</si>
  <si>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</si>
  <si>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</si>
  <si>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</si>
  <si>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</si>
  <si>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</si>
  <si>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</si>
  <si>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</si>
  <si>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</si>
  <si>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</si>
  <si>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</si>
  <si>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</si>
  <si>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</si>
  <si>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</si>
  <si>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</si>
  <si>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</si>
  <si>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</si>
  <si>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</si>
  <si>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</si>
  <si>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</si>
  <si>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</si>
  <si>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</si>
  <si>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</si>
  <si>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</si>
  <si>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</si>
  <si>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</si>
  <si>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</si>
  <si>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</si>
  <si>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</si>
  <si>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</si>
  <si>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</si>
  <si>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</si>
  <si>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Ausstehende Warranty/Litigation-Tail FY2025-Charges</t>
  </si>
  <si>
    <t>Management: 'vast majority' der €25,4B Charges in FY2025 abgegrenzt. Restrisiko aus laufenden Warranty-Fällen, UK Motor-Finance-Programm (€200M provisioniert) und offenen Supplier-Obligations. €2B Cash-Abfluss 2026 aus H2'25-Charges bereits geführt, aber residuales Exposure. Negativer EV-Effekt geschätzt €800M × 40% p = €320M expected value.</t>
  </si>
  <si>
    <t>Stellantis Financial Services Partial Monetization</t>
  </si>
  <si>
    <t>SFS-Portfolio (FS Net Financial Position = €20,3B) könnte teilweise securitisiert oder partnered werden, wie es andere OEMs (GM Financial, BMW Financial) getan haben. Möglicher Kapitalfreisetzungseffekt. Sehr unsicher, kein konkreter Hinweis im Bericht.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</si>
  <si>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</si>
  <si>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</si>
  <si>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</si>
  <si>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</si>
  <si>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</si>
  <si>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</si>
  <si>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</si>
  <si>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</si>
  <si>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</si>
  <si>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</si>
  <si>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</si>
  <si>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</si>
  <si>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</si>
  <si>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</si>
  <si>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</si>
  <si>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</si>
  <si>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</si>
  <si>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</si>
  <si>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</si>
  <si>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</si>
  <si>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</si>
  <si>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</si>
  <si>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</si>
  <si>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</si>
  <si>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</si>
  <si>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</si>
  <si>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</si>
  <si>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</si>
  <si>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</si>
  <si>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</si>
  <si>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</si>
  <si>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</si>
  <si>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</si>
  <si>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negative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</si>
  <si>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</si>
  <si>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</si>
  <si>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</si>
  <si>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</si>
  <si>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</si>
  <si>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</si>
  <si>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JA — Analyse aktiv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</si>
  <si>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</si>
  <si>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</si>
  <si>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</si>
  <si>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</si>
  <si>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</si>
  <si>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</si>
  <si>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</si>
  <si>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</si>
  <si>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</si>
  <si>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</si>
  <si>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</si>
  <si>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</si>
  <si>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</si>
  <si>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</si>
  <si>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</si>
  <si>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</si>
  <si>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</si>
  <si>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</si>
  <si>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</si>
  <si>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</si>
  <si>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</si>
  <si>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</si>
  <si>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</si>
  <si>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</si>
  <si>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</si>
  <si>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</si>
  <si>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</si>
  <si>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</si>
  <si>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</si>
  <si>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</si>
  <si>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</si>
  <si>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</si>
  <si>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</si>
  <si>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</si>
  <si>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</si>
  <si>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</si>
  <si>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</si>
  <si>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</si>
  <si>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</si>
  <si>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</si>
  <si>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</si>
  <si>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</si>
  <si>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</si>
  <si>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</si>
  <si>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</si>
  <si>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</si>
  <si>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</si>
  <si>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</si>
  <si>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</si>
  <si>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</si>
  <si>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</si>
  <si>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</si>
  <si>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</si>
  <si>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</si>
  <si>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</si>
  <si>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</si>
  <si>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</si>
  <si>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</si>
  <si>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</si>
  <si>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</si>
  <si>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</si>
  <si>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</si>
  <si>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1.0x EV/EBITDA (trailing). Unser Kursziel entspricht rund 3.9x auf dem heutigen EBITDA (gleiche Basis, direkt mit der eigenen Historie vergleichbar). Der Markt diskontiert rund 287% gegenüber unseren Annahmen (er ist pessimistischer als unser Modell). Auf unserer Ergebnisschätzung für das kommende Jahr (t+1) entspricht das Kursziel rund 3.7x, der Markt 1.0x (anderer Nenner, nicht mit der Historie vergleichbar). Die Peer-Gruppe handelt bei 10.8–26.2x (Median 12.5x, trailing). Markt-Multiple auf unserer Ergebnis-Schätzung gerechnet (keine Börsendaten verfügbar; ohne 5J-Historie).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</si>
  <si>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</si>
  <si>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</si>
  <si>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</si>
  <si>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</si>
  <si>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</si>
  <si>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</si>
  <si>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</si>
  <si>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</si>
  <si>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GM</t>
  </si>
  <si>
    <t>F</t>
  </si>
  <si>
    <t>RNO.PA</t>
  </si>
  <si>
    <t>VOW3.DE</t>
  </si>
  <si>
    <t>MBG.DE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</si>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</sst>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0" fontId="0" fillId="0" borderId="2" xfId="0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2886.7</v>
      </c>
    </row>
    <row r="12" spans="1:2" x14ac:dyDescent="0.25">
      <c r="A12" s="4" t="s">
        <v>13</v>
      </c>
      <c r="B12" s="5">
        <v>31508</v>
      </c>
    </row>
    <row r="13" spans="1:2" x14ac:dyDescent="0.25">
      <c r="A13" s="4" t="s">
        <v>14</v>
      </c>
      <c r="B13" s="5">
        <v>24814</v>
      </c>
    </row>
    <row r="14" spans="1:2" x14ac:dyDescent="0.25">
      <c r="A14" s="4" t="s">
        <v>15</v>
      </c>
      <c r="B14" s="6">
        <f>B13-B12</f>
        <v>-6694</v>
      </c>
    </row>
    <row r="15" spans="1:2" x14ac:dyDescent="0.25">
      <c r="A15" s="4" t="s">
        <v>16</v>
      </c>
      <c r="B15" s="5">
        <v>0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2.5000000000000001E-2</v>
      </c>
      <c r="C18" s="8" t="s">
        <v>20</v>
      </c>
    </row>
    <row r="19" spans="1:3" x14ac:dyDescent="0.25">
      <c r="A19" s="4" t="s">
        <v>21</v>
      </c>
      <c r="B19" s="7">
        <v>5.6500000000000002E-2</v>
      </c>
      <c r="C19" s="8" t="s">
        <v>22</v>
      </c>
    </row>
    <row r="20" spans="1:3" x14ac:dyDescent="0.25">
      <c r="A20" s="4" t="s">
        <v>23</v>
      </c>
      <c r="B20" s="9">
        <v>0.64800000000000002</v>
      </c>
      <c r="C20" s="8" t="s">
        <v>24</v>
      </c>
    </row>
    <row r="21" spans="1:3" x14ac:dyDescent="0.25">
      <c r="A21" s="4" t="s">
        <v>25</v>
      </c>
      <c r="B21" s="9">
        <v>1.488</v>
      </c>
      <c r="C21" s="8" t="s">
        <v>26</v>
      </c>
    </row>
    <row r="22" spans="1:3" x14ac:dyDescent="0.25">
      <c r="A22" s="4" t="s">
        <v>27</v>
      </c>
      <c r="B22" s="7">
        <v>0.25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1.24868256</v>
      </c>
    </row>
    <row r="24" spans="1:3" x14ac:dyDescent="0.25">
      <c r="A24" s="4" t="s">
        <v>30</v>
      </c>
      <c r="B24" s="7">
        <v>8.0000000000000002E-3</v>
      </c>
      <c r="C24" s="8" t="s">
        <v>31</v>
      </c>
    </row>
    <row r="25" spans="1:3" x14ac:dyDescent="0.25">
      <c r="A25" s="4" t="s">
        <v>32</v>
      </c>
      <c r="B25" s="7">
        <v>5.0000000000000001E-3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0.10855056464000001</v>
      </c>
    </row>
    <row r="27" spans="1:3" x14ac:dyDescent="0.25">
      <c r="A27" s="4" t="s">
        <v>35</v>
      </c>
      <c r="B27" s="7">
        <v>4.4715447154471552E-2</v>
      </c>
      <c r="C27" s="8" t="s">
        <v>36</v>
      </c>
    </row>
    <row r="28" spans="1:3" x14ac:dyDescent="0.25">
      <c r="A28" s="4" t="s">
        <v>37</v>
      </c>
      <c r="B28" s="11">
        <f>B27*(1-B22)</f>
        <v>3.3536585365853661E-2</v>
      </c>
    </row>
    <row r="29" spans="1:3" x14ac:dyDescent="0.25">
      <c r="A29" s="4" t="s">
        <v>38</v>
      </c>
      <c r="B29" s="11">
        <f>1/(1+B21)</f>
        <v>0.40192926045016075</v>
      </c>
    </row>
    <row r="30" spans="1:3" x14ac:dyDescent="0.25">
      <c r="A30" s="4" t="s">
        <v>39</v>
      </c>
      <c r="B30" s="11">
        <f>B21/(1+B21)</f>
        <v>0.59807073954983925</v>
      </c>
    </row>
    <row r="31" spans="1:3" x14ac:dyDescent="0.25">
      <c r="A31" s="4" t="s">
        <v>40</v>
      </c>
      <c r="B31" s="12">
        <f>MAX(B26*B29+B28*B30,B35)</f>
        <v>6.3686898578934989E-2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2.5000000000000001E-2</v>
      </c>
    </row>
    <row r="34" spans="1:3" x14ac:dyDescent="0.25">
      <c r="A34" s="4" t="s">
        <v>43</v>
      </c>
      <c r="B34" s="7">
        <v>1.4999999999999999E-2</v>
      </c>
    </row>
    <row r="35" spans="1:3" x14ac:dyDescent="0.25">
      <c r="A35" s="4" t="s">
        <v>44</v>
      </c>
      <c r="B35" s="7">
        <v>0</v>
      </c>
      <c r="C35" s="8" t="s">
        <v>45</v>
      </c>
    </row>
    <row r="36" spans="1:3" x14ac:dyDescent="0.25">
      <c r="A36" s="4" t="s">
        <v>46</v>
      </c>
      <c r="B36" s="7">
        <v>0.59809999999999997</v>
      </c>
      <c r="C36" s="8" t="s">
        <v>47</v>
      </c>
    </row>
    <row r="37" spans="1:3" x14ac:dyDescent="0.25">
      <c r="A37" s="4" t="s">
        <v>48</v>
      </c>
      <c r="B37" s="11">
        <f>B18+0.008+0.02*B36</f>
        <v>4.4962000000000002E-2</v>
      </c>
      <c r="C37" s="8" t="s">
        <v>49</v>
      </c>
    </row>
    <row r="38" spans="1:3" x14ac:dyDescent="0.25">
      <c r="A38" s="4" t="s">
        <v>50</v>
      </c>
      <c r="B38" s="11">
        <f>B37*(1-B22)</f>
        <v>3.3721500000000001E-2</v>
      </c>
    </row>
    <row r="39" spans="1:3" x14ac:dyDescent="0.25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53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/>
      <c r="J4" s="14"/>
    </row>
    <row r="5" spans="1:11" x14ac:dyDescent="0.25">
      <c r="A5" s="4" t="s">
        <v>65</v>
      </c>
      <c r="C5" s="5">
        <v>60962</v>
      </c>
      <c r="D5" s="5">
        <v>57773</v>
      </c>
      <c r="E5" s="5">
        <v>9709</v>
      </c>
      <c r="F5" s="5">
        <v>16197</v>
      </c>
      <c r="G5" s="5">
        <v>1868</v>
      </c>
      <c r="H5" s="5">
        <v>726</v>
      </c>
      <c r="I5" s="5"/>
      <c r="J5" s="5"/>
    </row>
    <row r="6" spans="1:11" x14ac:dyDescent="0.25">
      <c r="A6" s="4" t="s">
        <v>66</v>
      </c>
      <c r="C6" s="7">
        <v>0.05</v>
      </c>
      <c r="D6" s="7">
        <v>0.03</v>
      </c>
      <c r="E6" s="7">
        <v>0.04</v>
      </c>
      <c r="F6" s="7">
        <v>0.03</v>
      </c>
      <c r="G6" s="7">
        <v>0.04</v>
      </c>
      <c r="H6" s="7">
        <v>-0.05</v>
      </c>
      <c r="I6" s="7"/>
      <c r="J6" s="7"/>
    </row>
    <row r="7" spans="1:11" x14ac:dyDescent="0.25">
      <c r="A7" s="4" t="s">
        <v>67</v>
      </c>
      <c r="C7" s="7">
        <v>-1.6E-2</v>
      </c>
      <c r="D7" s="7">
        <v>4.0000000000000001E-3</v>
      </c>
      <c r="E7" s="7">
        <v>0.11</v>
      </c>
      <c r="F7" s="7">
        <v>0.105</v>
      </c>
      <c r="G7" s="7">
        <v>0.04</v>
      </c>
      <c r="H7" s="7">
        <v>-0.3</v>
      </c>
      <c r="I7" s="7"/>
      <c r="J7" s="7"/>
    </row>
    <row r="8" spans="1:11" x14ac:dyDescent="0.25">
      <c r="A8" s="4" t="s">
        <v>68</v>
      </c>
      <c r="C8" s="15">
        <v>-0.317</v>
      </c>
      <c r="D8" s="15">
        <v>-0.124</v>
      </c>
      <c r="E8" s="15">
        <v>0.11799999999999999</v>
      </c>
      <c r="F8" s="15">
        <v>0.10199999999999999</v>
      </c>
      <c r="G8" s="15">
        <v>4.3999999999999997E-2</v>
      </c>
      <c r="H8" s="15">
        <v>-0.6</v>
      </c>
      <c r="I8" s="15"/>
      <c r="J8" s="15"/>
    </row>
    <row r="9" spans="1:11" x14ac:dyDescent="0.25">
      <c r="A9" s="4" t="s">
        <v>69</v>
      </c>
      <c r="C9" s="7">
        <v>6.5000000000000002E-2</v>
      </c>
      <c r="D9" s="7">
        <v>5.5E-2</v>
      </c>
      <c r="E9" s="7">
        <v>7.0000000000000007E-2</v>
      </c>
      <c r="F9" s="7">
        <v>7.0000000000000007E-2</v>
      </c>
      <c r="G9" s="7">
        <v>0.04</v>
      </c>
      <c r="H9" s="7">
        <v>0.08</v>
      </c>
      <c r="I9" s="7"/>
      <c r="J9" s="7"/>
    </row>
    <row r="10" spans="1:11" x14ac:dyDescent="0.25">
      <c r="A10" s="4" t="s">
        <v>70</v>
      </c>
      <c r="C10" s="7">
        <v>6.2E-2</v>
      </c>
      <c r="D10" s="7">
        <v>6.2E-2</v>
      </c>
      <c r="E10" s="7">
        <v>0.03</v>
      </c>
      <c r="F10" s="7">
        <v>2.5000000000000001E-2</v>
      </c>
      <c r="G10" s="7">
        <v>0.02</v>
      </c>
      <c r="H10" s="7">
        <v>0.05</v>
      </c>
      <c r="I10" s="7"/>
      <c r="J10" s="7"/>
    </row>
    <row r="11" spans="1:11" x14ac:dyDescent="0.25">
      <c r="A11" s="4" t="s">
        <v>71</v>
      </c>
      <c r="C11" s="7">
        <v>4.4999999999999998E-2</v>
      </c>
      <c r="D11" s="7">
        <v>4.4999999999999998E-2</v>
      </c>
      <c r="E11" s="7">
        <v>2.5000000000000001E-2</v>
      </c>
      <c r="F11" s="7">
        <v>2.5000000000000001E-2</v>
      </c>
      <c r="G11" s="7">
        <v>2.5000000000000001E-2</v>
      </c>
      <c r="H11" s="7">
        <v>0.08</v>
      </c>
      <c r="I11" s="7"/>
      <c r="J11" s="7"/>
    </row>
    <row r="12" spans="1:11" x14ac:dyDescent="0.25">
      <c r="A12" s="4" t="s">
        <v>72</v>
      </c>
      <c r="C12" s="7">
        <v>3.5000000000000003E-2</v>
      </c>
      <c r="D12" s="7">
        <v>3.5000000000000003E-2</v>
      </c>
      <c r="E12" s="7">
        <v>0.02</v>
      </c>
      <c r="F12" s="7">
        <v>1.4999999999999999E-2</v>
      </c>
      <c r="G12" s="7">
        <v>0.01</v>
      </c>
      <c r="H12" s="7">
        <v>0</v>
      </c>
      <c r="I12" s="7"/>
      <c r="J12" s="7"/>
    </row>
    <row r="13" spans="1:11" x14ac:dyDescent="0.25">
      <c r="A13" s="4" t="s">
        <v>73</v>
      </c>
      <c r="C13" s="7">
        <v>2.5000000000000001E-2</v>
      </c>
      <c r="D13" s="7">
        <v>0.02</v>
      </c>
      <c r="E13" s="7">
        <v>0.03</v>
      </c>
      <c r="F13" s="7">
        <v>0.03</v>
      </c>
      <c r="G13" s="7">
        <v>2.5000000000000001E-2</v>
      </c>
      <c r="H13" s="7">
        <v>0.01</v>
      </c>
      <c r="I13" s="7"/>
      <c r="J13" s="7"/>
    </row>
    <row r="14" spans="1:11" x14ac:dyDescent="0.25">
      <c r="A14" s="4" t="s">
        <v>74</v>
      </c>
      <c r="C14" s="9">
        <v>0.64800000000000002</v>
      </c>
      <c r="D14" s="9">
        <v>0.64800000000000002</v>
      </c>
      <c r="E14" s="9">
        <v>0.64800000000000002</v>
      </c>
      <c r="F14" s="9">
        <v>0.64800000000000002</v>
      </c>
      <c r="G14" s="9">
        <v>0.64800000000000002</v>
      </c>
      <c r="H14" s="9">
        <v>0.61854545454545462</v>
      </c>
      <c r="I14" s="9"/>
      <c r="J14" s="9"/>
    </row>
    <row r="15" spans="1:11" x14ac:dyDescent="0.25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6.3686898578934989E-2</v>
      </c>
      <c r="D16" s="11">
        <f>MAX((MAX(Inputs!B18+((1-0.33)*D14*(1+(1-Inputs!B22)*Inputs!B21)+0.33)*Inputs!B19+IF(ISBLANK(D17),Inputs!B24,D17)+Inputs!B25+Inputs!B39,MIN(Inputs!B27,0.08)+0.025))*Inputs!B29+Inputs!B28*Inputs!B30,D15)</f>
        <v>6.3686898578934989E-2</v>
      </c>
      <c r="E16" s="11">
        <f>MAX((MAX(Inputs!B18+((1-0.33)*E14*(1+(1-Inputs!B22)*Inputs!B21)+0.33)*Inputs!B19+IF(ISBLANK(E17),Inputs!B24,E17)+Inputs!B25+Inputs!B39,MIN(Inputs!B27,0.08)+0.025))*Inputs!B29+Inputs!B28*Inputs!B30,E15)</f>
        <v>6.529461562073563E-2</v>
      </c>
      <c r="F16" s="11">
        <f>MAX((MAX(Inputs!B18+((1-0.33)*F14*(1+(1-Inputs!B22)*Inputs!B21)+0.33)*Inputs!B19+IF(ISBLANK(F17),Inputs!B24,F17)+Inputs!B25+Inputs!B39,MIN(Inputs!B27,0.08)+0.025))*Inputs!B29+Inputs!B28*Inputs!B30,F15)</f>
        <v>6.7706191183436598E-2</v>
      </c>
      <c r="G16" s="11">
        <f>MAX((MAX(Inputs!B18+((1-0.33)*G14*(1+(1-Inputs!B22)*Inputs!B21)+0.33)*Inputs!B19+IF(ISBLANK(G17),Inputs!B24,G17)+Inputs!B25+Inputs!B39,MIN(Inputs!B27,0.08)+0.025))*Inputs!B29+Inputs!B28*Inputs!B30,G15)</f>
        <v>6.3686898578934989E-2</v>
      </c>
      <c r="H16" s="11">
        <f>MAX((MAX(Inputs!B18+((1-0.33)*H14*(1+(1-Inputs!B22)*Inputs!B21)+0.33)*Inputs!B19+IF(ISBLANK(H17),Inputs!B24,H17)+Inputs!B25+Inputs!B39,MIN(Inputs!B27,0.08)+0.025))*Inputs!B29+Inputs!B28*Inputs!B30,H15)</f>
        <v>6.2738609251253033E-2</v>
      </c>
      <c r="I16" s="11">
        <f>MAX((MAX(Inputs!B18+((1-0.33)*I14*(1+(1-Inputs!B22)*Inputs!B21)+0.33)*Inputs!B19+IF(ISBLANK(I17),Inputs!B24,I17)+Inputs!B25+Inputs!B39,MIN(Inputs!B27,0.08)+0.025))*Inputs!B29+Inputs!B28*Inputs!B30,I15)</f>
        <v>4.8077928528481431E-2</v>
      </c>
      <c r="J16" s="11">
        <f>MAX((MAX(Inputs!B18+((1-0.33)*J14*(1+(1-Inputs!B22)*Inputs!B21)+0.33)*Inputs!B19+IF(ISBLANK(J17),Inputs!B24,J17)+Inputs!B25+Inputs!B39,MIN(Inputs!B27,0.08)+0.025))*Inputs!B29+Inputs!B28*Inputs!B30,J15)</f>
        <v>4.8077928528481431E-2</v>
      </c>
    </row>
    <row r="17" spans="1:10" x14ac:dyDescent="0.25">
      <c r="A17" s="16" t="s">
        <v>77</v>
      </c>
      <c r="C17" s="7"/>
      <c r="D17" s="7"/>
      <c r="E17" s="7">
        <v>1.2E-2</v>
      </c>
      <c r="F17" s="7">
        <v>1.7999999999999999E-2</v>
      </c>
      <c r="G17" s="7">
        <v>8.0000000000000002E-3</v>
      </c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 t="s">
        <v>84</v>
      </c>
      <c r="I18" s="18"/>
      <c r="J18" s="18"/>
    </row>
    <row r="19" spans="1:10" ht="39.950000000000003" customHeight="1" x14ac:dyDescent="0.25">
      <c r="A19" s="17" t="s">
        <v>85</v>
      </c>
      <c r="C19" s="18" t="s">
        <v>86</v>
      </c>
      <c r="D19" s="18" t="s">
        <v>87</v>
      </c>
      <c r="E19" s="18" t="s">
        <v>88</v>
      </c>
      <c r="F19" s="18" t="s">
        <v>89</v>
      </c>
      <c r="G19" s="18" t="s">
        <v>90</v>
      </c>
      <c r="H19" s="18" t="s">
        <v>91</v>
      </c>
      <c r="I19" s="18"/>
      <c r="J19" s="18"/>
    </row>
    <row r="20" spans="1:10" ht="27.95" customHeight="1" x14ac:dyDescent="0.25">
      <c r="A20" s="17" t="s">
        <v>92</v>
      </c>
      <c r="C20" s="18" t="s">
        <v>93</v>
      </c>
      <c r="D20" s="18" t="s">
        <v>94</v>
      </c>
      <c r="E20" s="18" t="s">
        <v>95</v>
      </c>
      <c r="F20" s="18" t="s">
        <v>96</v>
      </c>
      <c r="G20" s="18" t="s">
        <v>97</v>
      </c>
      <c r="H20" s="18"/>
      <c r="I20" s="18"/>
      <c r="J20" s="18"/>
    </row>
    <row r="21" spans="1:10" x14ac:dyDescent="0.25">
      <c r="A21" s="4" t="s">
        <v>98</v>
      </c>
      <c r="C21" s="6">
        <f t="shared" ref="C21:J21" si="0">C5*(1+C6)^1</f>
        <v>64010.100000000006</v>
      </c>
      <c r="D21" s="6">
        <f t="shared" si="0"/>
        <v>59506.19</v>
      </c>
      <c r="E21" s="6">
        <f t="shared" si="0"/>
        <v>10097.36</v>
      </c>
      <c r="F21" s="6">
        <f t="shared" si="0"/>
        <v>16682.91</v>
      </c>
      <c r="G21" s="6">
        <f t="shared" si="0"/>
        <v>1942.72</v>
      </c>
      <c r="H21" s="6">
        <f t="shared" si="0"/>
        <v>689.69999999999993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99</v>
      </c>
      <c r="C22" s="6">
        <f t="shared" ref="C22:J22" si="1">C5*(1+C6)^2</f>
        <v>67210.604999999996</v>
      </c>
      <c r="D22" s="6">
        <f t="shared" si="1"/>
        <v>61291.375699999997</v>
      </c>
      <c r="E22" s="6">
        <f t="shared" si="1"/>
        <v>10501.254400000002</v>
      </c>
      <c r="F22" s="6">
        <f t="shared" si="1"/>
        <v>17183.397300000001</v>
      </c>
      <c r="G22" s="6">
        <f t="shared" si="1"/>
        <v>2020.4288000000001</v>
      </c>
      <c r="H22" s="6">
        <f t="shared" si="1"/>
        <v>655.21500000000003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100</v>
      </c>
      <c r="C23" s="6">
        <f t="shared" ref="C23:J23" si="2">C5*(1+C6)^3</f>
        <v>70571.135250000007</v>
      </c>
      <c r="D23" s="6">
        <f t="shared" si="2"/>
        <v>63130.116971000003</v>
      </c>
      <c r="E23" s="6">
        <f t="shared" si="2"/>
        <v>10921.304576</v>
      </c>
      <c r="F23" s="6">
        <f t="shared" si="2"/>
        <v>17698.899218999999</v>
      </c>
      <c r="G23" s="6">
        <f t="shared" si="2"/>
        <v>2101.2459520000002</v>
      </c>
      <c r="H23" s="6">
        <f t="shared" si="2"/>
        <v>622.45424999999989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101</v>
      </c>
      <c r="C24" s="6">
        <f t="shared" ref="C24:J24" si="3">C5*(1+C6)^4</f>
        <v>74099.692012500003</v>
      </c>
      <c r="D24" s="6">
        <f t="shared" si="3"/>
        <v>65024.020480129991</v>
      </c>
      <c r="E24" s="6">
        <f t="shared" si="3"/>
        <v>11358.156759040003</v>
      </c>
      <c r="F24" s="6">
        <f t="shared" si="3"/>
        <v>18229.866195569997</v>
      </c>
      <c r="G24" s="6">
        <f t="shared" si="3"/>
        <v>2185.2957900800002</v>
      </c>
      <c r="H24" s="6">
        <f t="shared" si="3"/>
        <v>591.33153749999997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102</v>
      </c>
      <c r="C25" s="6">
        <f t="shared" ref="C25:J25" si="4">C5*(1+C6)^5</f>
        <v>77804.676613125004</v>
      </c>
      <c r="D25" s="6">
        <f t="shared" si="4"/>
        <v>66974.741094533892</v>
      </c>
      <c r="E25" s="6">
        <f t="shared" si="4"/>
        <v>11812.483029401603</v>
      </c>
      <c r="F25" s="6">
        <f t="shared" si="4"/>
        <v>18776.762181437098</v>
      </c>
      <c r="G25" s="6">
        <f t="shared" si="4"/>
        <v>2272.7076216832006</v>
      </c>
      <c r="H25" s="6">
        <f t="shared" si="4"/>
        <v>561.76496062499996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103</v>
      </c>
      <c r="C26" s="7">
        <v>3.5000000000000003E-2</v>
      </c>
      <c r="D26" s="7">
        <v>3.5000000000000003E-2</v>
      </c>
      <c r="E26" s="7"/>
      <c r="F26" s="7"/>
      <c r="G26" s="7"/>
      <c r="H26" s="7">
        <v>0.02</v>
      </c>
      <c r="I26" s="7"/>
      <c r="J26" s="7"/>
    </row>
    <row r="27" spans="1:10" x14ac:dyDescent="0.25">
      <c r="A27" s="4" t="s">
        <v>104</v>
      </c>
      <c r="C27" s="11">
        <f t="shared" ref="C27:J27" si="5">IF(ISBLANK(C9),C7,C7+(C9-C7)*(0)/4)</f>
        <v>-1.6E-2</v>
      </c>
      <c r="D27" s="11">
        <f t="shared" si="5"/>
        <v>4.0000000000000001E-3</v>
      </c>
      <c r="E27" s="11">
        <f t="shared" si="5"/>
        <v>0.11</v>
      </c>
      <c r="F27" s="11">
        <f t="shared" si="5"/>
        <v>0.105</v>
      </c>
      <c r="G27" s="11">
        <f t="shared" si="5"/>
        <v>0.04</v>
      </c>
      <c r="H27" s="11">
        <f t="shared" si="5"/>
        <v>-0.3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105</v>
      </c>
      <c r="C28" s="11">
        <f t="shared" ref="C28:J28" si="6">IF(ISBLANK(C9),C7,C7+(C9-C7)*(1)/4)</f>
        <v>4.2500000000000003E-3</v>
      </c>
      <c r="D28" s="11">
        <f t="shared" si="6"/>
        <v>1.6750000000000001E-2</v>
      </c>
      <c r="E28" s="11">
        <f t="shared" si="6"/>
        <v>0.1</v>
      </c>
      <c r="F28" s="11">
        <f t="shared" si="6"/>
        <v>9.6250000000000002E-2</v>
      </c>
      <c r="G28" s="11">
        <f t="shared" si="6"/>
        <v>0.04</v>
      </c>
      <c r="H28" s="11">
        <f t="shared" si="6"/>
        <v>-0.20499999999999999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106</v>
      </c>
      <c r="C29" s="11">
        <f t="shared" ref="C29:J29" si="7">IF(ISBLANK(C9),C7,C7+(C9-C7)*(2)/4)</f>
        <v>2.4500000000000001E-2</v>
      </c>
      <c r="D29" s="11">
        <f t="shared" si="7"/>
        <v>2.9500000000000002E-2</v>
      </c>
      <c r="E29" s="11">
        <f t="shared" si="7"/>
        <v>0.09</v>
      </c>
      <c r="F29" s="11">
        <f t="shared" si="7"/>
        <v>8.7499999999999994E-2</v>
      </c>
      <c r="G29" s="11">
        <f t="shared" si="7"/>
        <v>0.04</v>
      </c>
      <c r="H29" s="11">
        <f t="shared" si="7"/>
        <v>-0.10999999999999999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107</v>
      </c>
      <c r="C30" s="11">
        <f t="shared" ref="C30:J30" si="8">IF(ISBLANK(C9),C7,C7+(C9-C7)*(3)/4)</f>
        <v>4.4749999999999998E-2</v>
      </c>
      <c r="D30" s="11">
        <f t="shared" si="8"/>
        <v>4.225000000000001E-2</v>
      </c>
      <c r="E30" s="11">
        <f t="shared" si="8"/>
        <v>0.08</v>
      </c>
      <c r="F30" s="11">
        <f t="shared" si="8"/>
        <v>7.8750000000000001E-2</v>
      </c>
      <c r="G30" s="11">
        <f t="shared" si="8"/>
        <v>0.04</v>
      </c>
      <c r="H30" s="11">
        <f t="shared" si="8"/>
        <v>-1.4999999999999958E-2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108</v>
      </c>
      <c r="C31" s="11">
        <f t="shared" ref="C31:J31" si="9">IF(ISBLANK(C9),C7,C7+(C9-C7)*(4)/4)</f>
        <v>6.5000000000000002E-2</v>
      </c>
      <c r="D31" s="11">
        <f t="shared" si="9"/>
        <v>5.5000000000000007E-2</v>
      </c>
      <c r="E31" s="11">
        <f t="shared" si="9"/>
        <v>7.0000000000000007E-2</v>
      </c>
      <c r="F31" s="11">
        <f t="shared" si="9"/>
        <v>7.0000000000000007E-2</v>
      </c>
      <c r="G31" s="11">
        <f t="shared" si="9"/>
        <v>0.04</v>
      </c>
      <c r="H31" s="11">
        <f t="shared" si="9"/>
        <v>8.0000000000000016E-2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109</v>
      </c>
      <c r="C33" s="6">
        <f t="shared" ref="C33:J37" si="10">C21*C27</f>
        <v>-1024.1616000000001</v>
      </c>
      <c r="D33" s="6">
        <f t="shared" si="10"/>
        <v>238.02476000000001</v>
      </c>
      <c r="E33" s="6">
        <f t="shared" si="10"/>
        <v>1110.7096000000001</v>
      </c>
      <c r="F33" s="6">
        <f t="shared" si="10"/>
        <v>1751.7055499999999</v>
      </c>
      <c r="G33" s="6">
        <f t="shared" si="10"/>
        <v>77.708799999999997</v>
      </c>
      <c r="H33" s="6">
        <f t="shared" si="10"/>
        <v>-206.90999999999997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110</v>
      </c>
      <c r="C34" s="6">
        <f t="shared" si="10"/>
        <v>285.64507125</v>
      </c>
      <c r="D34" s="6">
        <f t="shared" si="10"/>
        <v>1026.630542975</v>
      </c>
      <c r="E34" s="6">
        <f t="shared" si="10"/>
        <v>1050.1254400000003</v>
      </c>
      <c r="F34" s="6">
        <f t="shared" si="10"/>
        <v>1653.9019901250001</v>
      </c>
      <c r="G34" s="6">
        <f t="shared" si="10"/>
        <v>80.817152000000007</v>
      </c>
      <c r="H34" s="6">
        <f t="shared" si="10"/>
        <v>-134.319075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111</v>
      </c>
      <c r="C35" s="6">
        <f t="shared" si="10"/>
        <v>1728.9928136250003</v>
      </c>
      <c r="D35" s="6">
        <f t="shared" si="10"/>
        <v>1862.3384506445002</v>
      </c>
      <c r="E35" s="6">
        <f t="shared" si="10"/>
        <v>982.91741184</v>
      </c>
      <c r="F35" s="6">
        <f t="shared" si="10"/>
        <v>1548.6536816624998</v>
      </c>
      <c r="G35" s="6">
        <f t="shared" si="10"/>
        <v>84.049838080000015</v>
      </c>
      <c r="H35" s="6">
        <f t="shared" si="10"/>
        <v>-68.469967499999981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112</v>
      </c>
      <c r="C36" s="6">
        <f t="shared" si="10"/>
        <v>3315.9612175593752</v>
      </c>
      <c r="D36" s="6">
        <f t="shared" si="10"/>
        <v>2747.2648652854928</v>
      </c>
      <c r="E36" s="6">
        <f t="shared" si="10"/>
        <v>908.65254072320022</v>
      </c>
      <c r="F36" s="6">
        <f t="shared" si="10"/>
        <v>1435.6019629011373</v>
      </c>
      <c r="G36" s="6">
        <f t="shared" si="10"/>
        <v>87.411831603200014</v>
      </c>
      <c r="H36" s="6">
        <f t="shared" si="10"/>
        <v>-8.8699730624999749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113</v>
      </c>
      <c r="C37" s="6">
        <f t="shared" si="10"/>
        <v>5057.3039798531254</v>
      </c>
      <c r="D37" s="6">
        <f t="shared" si="10"/>
        <v>3683.6107601993644</v>
      </c>
      <c r="E37" s="6">
        <f t="shared" si="10"/>
        <v>826.87381205811232</v>
      </c>
      <c r="F37" s="6">
        <f t="shared" si="10"/>
        <v>1314.373352700597</v>
      </c>
      <c r="G37" s="6">
        <f t="shared" si="10"/>
        <v>90.908304867328027</v>
      </c>
      <c r="H37" s="6">
        <f t="shared" si="10"/>
        <v>44.941196850000004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114</v>
      </c>
      <c r="C39" s="6">
        <f>C33*(1-Inputs!B22)</f>
        <v>-768.12120000000004</v>
      </c>
      <c r="D39" s="6">
        <f>D33*(1-Inputs!B22)</f>
        <v>178.51857000000001</v>
      </c>
      <c r="E39" s="6">
        <f>E33*(1-Inputs!B22)</f>
        <v>833.0322000000001</v>
      </c>
      <c r="F39" s="6">
        <f>F33*(1-Inputs!B22)</f>
        <v>1313.7791625</v>
      </c>
      <c r="G39" s="6">
        <f>G33*(1-Inputs!B22)</f>
        <v>58.281599999999997</v>
      </c>
      <c r="H39" s="6">
        <f>H33*(1-Inputs!B22)</f>
        <v>-155.18249999999998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115</v>
      </c>
      <c r="C40" s="6">
        <f>C34*(1-Inputs!B22)</f>
        <v>214.2338034375</v>
      </c>
      <c r="D40" s="6">
        <f>D34*(1-Inputs!B22)</f>
        <v>769.97290723125002</v>
      </c>
      <c r="E40" s="6">
        <f>E34*(1-Inputs!B22)</f>
        <v>787.59408000000019</v>
      </c>
      <c r="F40" s="6">
        <f>F34*(1-Inputs!B22)</f>
        <v>1240.42649259375</v>
      </c>
      <c r="G40" s="6">
        <f>G34*(1-Inputs!B22)</f>
        <v>60.612864000000002</v>
      </c>
      <c r="H40" s="6">
        <f>H34*(1-Inputs!B22)</f>
        <v>-100.73930625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116</v>
      </c>
      <c r="C41" s="6">
        <f>C35*(1-Inputs!B22)</f>
        <v>1296.7446102187503</v>
      </c>
      <c r="D41" s="6">
        <f>D35*(1-Inputs!B22)</f>
        <v>1396.7538379833752</v>
      </c>
      <c r="E41" s="6">
        <f>E35*(1-Inputs!B22)</f>
        <v>737.18805887999997</v>
      </c>
      <c r="F41" s="6">
        <f>F35*(1-Inputs!B22)</f>
        <v>1161.490261246875</v>
      </c>
      <c r="G41" s="6">
        <f>G35*(1-Inputs!B22)</f>
        <v>63.037378560000008</v>
      </c>
      <c r="H41" s="6">
        <f>H35*(1-Inputs!B22)</f>
        <v>-51.352475624999983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117</v>
      </c>
      <c r="C42" s="6">
        <f>C36*(1-Inputs!B22)</f>
        <v>2486.9709131695313</v>
      </c>
      <c r="D42" s="6">
        <f>D36*(1-Inputs!B22)</f>
        <v>2060.4486489641195</v>
      </c>
      <c r="E42" s="6">
        <f>E36*(1-Inputs!B22)</f>
        <v>681.48940554240016</v>
      </c>
      <c r="F42" s="6">
        <f>F36*(1-Inputs!B22)</f>
        <v>1076.701472175853</v>
      </c>
      <c r="G42" s="6">
        <f>G36*(1-Inputs!B22)</f>
        <v>65.558873702400007</v>
      </c>
      <c r="H42" s="6">
        <f>H36*(1-Inputs!B22)</f>
        <v>-6.6524797968749816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118</v>
      </c>
      <c r="C43" s="6">
        <f>C37*(1-Inputs!B22)</f>
        <v>3792.9779848898443</v>
      </c>
      <c r="D43" s="6">
        <f>D37*(1-Inputs!B22)</f>
        <v>2762.7080701495233</v>
      </c>
      <c r="E43" s="6">
        <f>E37*(1-Inputs!B22)</f>
        <v>620.15535904358421</v>
      </c>
      <c r="F43" s="6">
        <f>F37*(1-Inputs!B22)</f>
        <v>985.78001452544777</v>
      </c>
      <c r="G43" s="6">
        <f>G37*(1-Inputs!B22)</f>
        <v>68.181228650496024</v>
      </c>
      <c r="H43" s="6">
        <f>H37*(1-Inputs!B22)</f>
        <v>33.705897637500001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119</v>
      </c>
      <c r="C45" s="6">
        <f t="shared" ref="C45:J45" si="11">C21*IF(ISBLANK(C26),C12,C12+(C26-C12)*(0)/4)</f>
        <v>2240.3535000000006</v>
      </c>
      <c r="D45" s="6">
        <f t="shared" si="11"/>
        <v>2082.7166500000003</v>
      </c>
      <c r="E45" s="6">
        <f t="shared" si="11"/>
        <v>201.94720000000001</v>
      </c>
      <c r="F45" s="6">
        <f t="shared" si="11"/>
        <v>250.24365</v>
      </c>
      <c r="G45" s="6">
        <f t="shared" si="11"/>
        <v>19.427199999999999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120</v>
      </c>
      <c r="C46" s="6">
        <f t="shared" ref="C46:J46" si="12">C22*IF(ISBLANK(C26),C12,C12+(C26-C12)*(1)/4)</f>
        <v>2352.3711750000002</v>
      </c>
      <c r="D46" s="6">
        <f t="shared" si="12"/>
        <v>2145.1981495</v>
      </c>
      <c r="E46" s="6">
        <f t="shared" si="12"/>
        <v>210.02508800000004</v>
      </c>
      <c r="F46" s="6">
        <f t="shared" si="12"/>
        <v>257.75095950000002</v>
      </c>
      <c r="G46" s="6">
        <f t="shared" si="12"/>
        <v>20.204288000000002</v>
      </c>
      <c r="H46" s="6">
        <f t="shared" si="12"/>
        <v>3.2760750000000001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121</v>
      </c>
      <c r="C47" s="6">
        <f t="shared" ref="C47:J47" si="13">C23*IF(ISBLANK(C26),C12,C12+(C26-C12)*(2)/4)</f>
        <v>2469.9897337500006</v>
      </c>
      <c r="D47" s="6">
        <f t="shared" si="13"/>
        <v>2209.5540939850002</v>
      </c>
      <c r="E47" s="6">
        <f t="shared" si="13"/>
        <v>218.42609152</v>
      </c>
      <c r="F47" s="6">
        <f t="shared" si="13"/>
        <v>265.48348828499996</v>
      </c>
      <c r="G47" s="6">
        <f t="shared" si="13"/>
        <v>21.012459520000004</v>
      </c>
      <c r="H47" s="6">
        <f t="shared" si="13"/>
        <v>6.2245424999999992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122</v>
      </c>
      <c r="C48" s="6">
        <f t="shared" ref="C48:J48" si="14">C24*IF(ISBLANK(C26),C12,C12+(C26-C12)*(3)/4)</f>
        <v>2593.4892204375005</v>
      </c>
      <c r="D48" s="6">
        <f t="shared" si="14"/>
        <v>2275.8407168045501</v>
      </c>
      <c r="E48" s="6">
        <f t="shared" si="14"/>
        <v>227.16313518080005</v>
      </c>
      <c r="F48" s="6">
        <f t="shared" si="14"/>
        <v>273.44799293354993</v>
      </c>
      <c r="G48" s="6">
        <f t="shared" si="14"/>
        <v>21.852957900800003</v>
      </c>
      <c r="H48" s="6">
        <f t="shared" si="14"/>
        <v>8.8699730624999997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123</v>
      </c>
      <c r="C49" s="6">
        <f t="shared" ref="C49:J49" si="15">C25*IF(ISBLANK(C26),C12,C12+(C26-C12)*(4)/4)</f>
        <v>2723.1636814593753</v>
      </c>
      <c r="D49" s="6">
        <f t="shared" si="15"/>
        <v>2344.1159383086865</v>
      </c>
      <c r="E49" s="6">
        <f t="shared" si="15"/>
        <v>236.24966058803207</v>
      </c>
      <c r="F49" s="6">
        <f t="shared" si="15"/>
        <v>281.65143272155643</v>
      </c>
      <c r="G49" s="6">
        <f t="shared" si="15"/>
        <v>22.727076216832007</v>
      </c>
      <c r="H49" s="6">
        <f t="shared" si="15"/>
        <v>11.235299212499999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124</v>
      </c>
      <c r="C51" s="6">
        <f t="shared" ref="C51:J55" si="16">C39-C45</f>
        <v>-3008.4747000000007</v>
      </c>
      <c r="D51" s="6">
        <f t="shared" si="16"/>
        <v>-1904.1980800000003</v>
      </c>
      <c r="E51" s="6">
        <f t="shared" si="16"/>
        <v>631.08500000000004</v>
      </c>
      <c r="F51" s="6">
        <f t="shared" si="16"/>
        <v>1063.5355125000001</v>
      </c>
      <c r="G51" s="6">
        <f t="shared" si="16"/>
        <v>38.854399999999998</v>
      </c>
      <c r="H51" s="6">
        <f t="shared" si="16"/>
        <v>-155.18249999999998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125</v>
      </c>
      <c r="C52" s="6">
        <f t="shared" si="16"/>
        <v>-2138.1373715625004</v>
      </c>
      <c r="D52" s="6">
        <f t="shared" si="16"/>
        <v>-1375.22524226875</v>
      </c>
      <c r="E52" s="6">
        <f t="shared" si="16"/>
        <v>577.56899200000021</v>
      </c>
      <c r="F52" s="6">
        <f t="shared" si="16"/>
        <v>982.67553309375</v>
      </c>
      <c r="G52" s="6">
        <f t="shared" si="16"/>
        <v>40.408575999999996</v>
      </c>
      <c r="H52" s="6">
        <f t="shared" si="16"/>
        <v>-104.01538125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126</v>
      </c>
      <c r="C53" s="6">
        <f t="shared" si="16"/>
        <v>-1173.2451235312503</v>
      </c>
      <c r="D53" s="6">
        <f t="shared" si="16"/>
        <v>-812.80025600162503</v>
      </c>
      <c r="E53" s="6">
        <f t="shared" si="16"/>
        <v>518.76196735999997</v>
      </c>
      <c r="F53" s="6">
        <f t="shared" si="16"/>
        <v>896.00677296187496</v>
      </c>
      <c r="G53" s="6">
        <f t="shared" si="16"/>
        <v>42.02491904</v>
      </c>
      <c r="H53" s="6">
        <f t="shared" si="16"/>
        <v>-57.577018124999981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127</v>
      </c>
      <c r="C54" s="6">
        <f t="shared" si="16"/>
        <v>-106.51830726796925</v>
      </c>
      <c r="D54" s="6">
        <f t="shared" si="16"/>
        <v>-215.39206784043063</v>
      </c>
      <c r="E54" s="6">
        <f t="shared" si="16"/>
        <v>454.32627036160011</v>
      </c>
      <c r="F54" s="6">
        <f t="shared" si="16"/>
        <v>803.25347924230311</v>
      </c>
      <c r="G54" s="6">
        <f t="shared" si="16"/>
        <v>43.7059158016</v>
      </c>
      <c r="H54" s="6">
        <f t="shared" si="16"/>
        <v>-15.522452859374981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128</v>
      </c>
      <c r="C55" s="6">
        <f t="shared" si="16"/>
        <v>1069.814303430469</v>
      </c>
      <c r="D55" s="6">
        <f t="shared" si="16"/>
        <v>418.59213184083683</v>
      </c>
      <c r="E55" s="6">
        <f t="shared" si="16"/>
        <v>383.90569845555217</v>
      </c>
      <c r="F55" s="6">
        <f t="shared" si="16"/>
        <v>704.12858180389139</v>
      </c>
      <c r="G55" s="6">
        <f t="shared" si="16"/>
        <v>45.454152433664021</v>
      </c>
      <c r="H55" s="6">
        <f t="shared" si="16"/>
        <v>22.470598425000002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129</v>
      </c>
      <c r="C57" s="6">
        <f t="shared" ref="C57:J57" si="17">C51/((1+C16))</f>
        <v>-2828.3461082572931</v>
      </c>
      <c r="D57" s="6">
        <f t="shared" si="17"/>
        <v>-1790.1866447203327</v>
      </c>
      <c r="E57" s="6">
        <f t="shared" si="17"/>
        <v>592.40419574661382</v>
      </c>
      <c r="F57" s="6">
        <f t="shared" si="17"/>
        <v>996.09379554237307</v>
      </c>
      <c r="G57" s="6">
        <f t="shared" si="17"/>
        <v>36.528042276264493</v>
      </c>
      <c r="H57" s="6">
        <f t="shared" si="17"/>
        <v>-146.02132513970957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130</v>
      </c>
      <c r="C58" s="6">
        <f t="shared" ref="C58:J58" si="18">C52/((1+C16)*(1+C16+(C104-C16)*1/5))</f>
        <v>-1885.4341064161335</v>
      </c>
      <c r="D58" s="6">
        <f t="shared" si="18"/>
        <v>-1212.6894231697861</v>
      </c>
      <c r="E58" s="6">
        <f t="shared" si="18"/>
        <v>507.77263473283483</v>
      </c>
      <c r="F58" s="6">
        <f t="shared" si="18"/>
        <v>860.03032878996726</v>
      </c>
      <c r="G58" s="6">
        <f t="shared" si="18"/>
        <v>35.632746705340189</v>
      </c>
      <c r="H58" s="6">
        <f t="shared" si="18"/>
        <v>-91.86917449792351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131</v>
      </c>
      <c r="C59" s="6">
        <f t="shared" ref="C59:J59" si="19">C53/((1+C16)*(1+C16+(C104-C16)*1/5)*(1+C16+(C104-C16)*2/5))</f>
        <v>-968.18808440481121</v>
      </c>
      <c r="D59" s="6">
        <f t="shared" si="19"/>
        <v>-670.74092794300259</v>
      </c>
      <c r="E59" s="6">
        <f t="shared" si="19"/>
        <v>426.16312396753381</v>
      </c>
      <c r="F59" s="6">
        <f t="shared" si="19"/>
        <v>731.10492861966543</v>
      </c>
      <c r="G59" s="6">
        <f t="shared" si="19"/>
        <v>34.67990196297724</v>
      </c>
      <c r="H59" s="6">
        <f t="shared" si="19"/>
        <v>-47.615455733218873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132</v>
      </c>
      <c r="C60" s="6">
        <f t="shared" ref="C60:J60" si="20">C54/((1+C16)*(1+C16+(C104-C16)*1/5)*(1+C16+(C104-C16)*2/5)*(1+C16+(C104-C16)*3/5))</f>
        <v>-82.072635744112461</v>
      </c>
      <c r="D60" s="6">
        <f t="shared" si="20"/>
        <v>-165.96015445088332</v>
      </c>
      <c r="E60" s="6">
        <f t="shared" si="20"/>
        <v>347.9584042498534</v>
      </c>
      <c r="F60" s="6">
        <f t="shared" si="20"/>
        <v>609.67374721694023</v>
      </c>
      <c r="G60" s="6">
        <f t="shared" si="20"/>
        <v>33.675523010552176</v>
      </c>
      <c r="H60" s="6">
        <f t="shared" si="20"/>
        <v>-11.989915248264754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133</v>
      </c>
      <c r="C61" s="6">
        <f t="shared" ref="C61:J61" si="21">C55/((1+C16)*(1+C16+(C104-C16)*1/5)*(1+C16+(C104-C16)*2/5)*(1+C16+(C104-C16)*3/5)*(1+C16+(C104-C16)*4/5))</f>
        <v>767.88443192148623</v>
      </c>
      <c r="D61" s="6">
        <f t="shared" si="21"/>
        <v>300.45436888879266</v>
      </c>
      <c r="E61" s="6">
        <f t="shared" si="21"/>
        <v>273.49378509727637</v>
      </c>
      <c r="F61" s="6">
        <f t="shared" si="21"/>
        <v>496.00633298712233</v>
      </c>
      <c r="G61" s="6">
        <f t="shared" si="21"/>
        <v>32.625789268357117</v>
      </c>
      <c r="H61" s="6">
        <f t="shared" si="21"/>
        <v>16.171878786978251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134</v>
      </c>
    </row>
    <row r="63" spans="1:10" x14ac:dyDescent="0.25">
      <c r="A63" s="4" t="s">
        <v>135</v>
      </c>
      <c r="C63" s="6">
        <f t="shared" ref="C63:J63" si="22">C25*(1+(C6+(C13-C6)*1/5))</f>
        <v>81305.887060715628</v>
      </c>
      <c r="D63" s="6">
        <f t="shared" si="22"/>
        <v>68850.033845180849</v>
      </c>
      <c r="E63" s="6">
        <f t="shared" si="22"/>
        <v>12261.357384518864</v>
      </c>
      <c r="F63" s="6">
        <f t="shared" si="22"/>
        <v>19340.065046880212</v>
      </c>
      <c r="G63" s="6">
        <f t="shared" si="22"/>
        <v>2356.7978036854788</v>
      </c>
      <c r="H63" s="6">
        <f t="shared" si="22"/>
        <v>540.41789212124991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136</v>
      </c>
      <c r="C64" s="6">
        <f t="shared" ref="C64:J64" si="23">C63*(1+(C6+(C13-C6)*2/5))</f>
        <v>84558.122543144258</v>
      </c>
      <c r="D64" s="6">
        <f t="shared" si="23"/>
        <v>70640.134725155556</v>
      </c>
      <c r="E64" s="6">
        <f t="shared" si="23"/>
        <v>12702.766250361543</v>
      </c>
      <c r="F64" s="6">
        <f t="shared" si="23"/>
        <v>19920.266998286621</v>
      </c>
      <c r="G64" s="6">
        <f t="shared" si="23"/>
        <v>2436.9289290107849</v>
      </c>
      <c r="H64" s="6">
        <f t="shared" si="23"/>
        <v>526.36702692609742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137</v>
      </c>
      <c r="C65" s="6">
        <f t="shared" ref="C65:J65" si="24">C64*(1+(C6+(C13-C6)*3/5))</f>
        <v>87517.656832154302</v>
      </c>
      <c r="D65" s="6">
        <f t="shared" si="24"/>
        <v>72335.497958559296</v>
      </c>
      <c r="E65" s="6">
        <f t="shared" si="24"/>
        <v>13134.660302873835</v>
      </c>
      <c r="F65" s="6">
        <f t="shared" si="24"/>
        <v>20517.87500823522</v>
      </c>
      <c r="G65" s="6">
        <f t="shared" si="24"/>
        <v>2512.473725810119</v>
      </c>
      <c r="H65" s="6">
        <f t="shared" si="24"/>
        <v>518.99788854913209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138</v>
      </c>
      <c r="C66" s="6">
        <f t="shared" ref="C66:J66" si="25">C65*(1+(C6+(C13-C6)*4/5))</f>
        <v>90143.186537118934</v>
      </c>
      <c r="D66" s="6">
        <f t="shared" si="25"/>
        <v>73926.878913647597</v>
      </c>
      <c r="E66" s="6">
        <f t="shared" si="25"/>
        <v>13554.969432565798</v>
      </c>
      <c r="F66" s="6">
        <f t="shared" si="25"/>
        <v>21133.411258482276</v>
      </c>
      <c r="G66" s="6">
        <f t="shared" si="25"/>
        <v>2582.8229901328023</v>
      </c>
      <c r="H66" s="6">
        <f t="shared" si="25"/>
        <v>517.95989277203387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139</v>
      </c>
      <c r="C67" s="6">
        <f t="shared" ref="C67:J67" si="26">C66*(1+(C6+(C13-C6)*5/5))</f>
        <v>92396.766200546903</v>
      </c>
      <c r="D67" s="6">
        <f t="shared" si="26"/>
        <v>75405.41649192055</v>
      </c>
      <c r="E67" s="6">
        <f t="shared" si="26"/>
        <v>13961.618515542772</v>
      </c>
      <c r="F67" s="6">
        <f t="shared" si="26"/>
        <v>21767.413596236744</v>
      </c>
      <c r="G67" s="6">
        <f t="shared" si="26"/>
        <v>2647.393564886122</v>
      </c>
      <c r="H67" s="6">
        <f t="shared" si="26"/>
        <v>523.13949169975422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140</v>
      </c>
      <c r="C69" s="11">
        <f t="shared" ref="C69:J69" si="27">IF(ISBLANK(C9),C7,C9)</f>
        <v>6.5000000000000002E-2</v>
      </c>
      <c r="D69" s="11">
        <f t="shared" si="27"/>
        <v>5.5E-2</v>
      </c>
      <c r="E69" s="11">
        <f t="shared" si="27"/>
        <v>7.0000000000000007E-2</v>
      </c>
      <c r="F69" s="11">
        <f t="shared" si="27"/>
        <v>7.0000000000000007E-2</v>
      </c>
      <c r="G69" s="11">
        <f t="shared" si="27"/>
        <v>0.04</v>
      </c>
      <c r="H69" s="11">
        <f t="shared" si="27"/>
        <v>0.08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141</v>
      </c>
      <c r="C70" s="11">
        <f t="shared" ref="C70:J70" si="28">IF(ISBLANK(C9),C7,C9)</f>
        <v>6.5000000000000002E-2</v>
      </c>
      <c r="D70" s="11">
        <f t="shared" si="28"/>
        <v>5.5E-2</v>
      </c>
      <c r="E70" s="11">
        <f t="shared" si="28"/>
        <v>7.0000000000000007E-2</v>
      </c>
      <c r="F70" s="11">
        <f t="shared" si="28"/>
        <v>7.0000000000000007E-2</v>
      </c>
      <c r="G70" s="11">
        <f t="shared" si="28"/>
        <v>0.04</v>
      </c>
      <c r="H70" s="11">
        <f t="shared" si="28"/>
        <v>0.08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142</v>
      </c>
      <c r="C71" s="11">
        <f t="shared" ref="C71:J71" si="29">IF(ISBLANK(C9),C7,C9)</f>
        <v>6.5000000000000002E-2</v>
      </c>
      <c r="D71" s="11">
        <f t="shared" si="29"/>
        <v>5.5E-2</v>
      </c>
      <c r="E71" s="11">
        <f t="shared" si="29"/>
        <v>7.0000000000000007E-2</v>
      </c>
      <c r="F71" s="11">
        <f t="shared" si="29"/>
        <v>7.0000000000000007E-2</v>
      </c>
      <c r="G71" s="11">
        <f t="shared" si="29"/>
        <v>0.04</v>
      </c>
      <c r="H71" s="11">
        <f t="shared" si="29"/>
        <v>0.08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143</v>
      </c>
      <c r="C72" s="11">
        <f t="shared" ref="C72:J72" si="30">IF(ISBLANK(C9),C7,C9)</f>
        <v>6.5000000000000002E-2</v>
      </c>
      <c r="D72" s="11">
        <f t="shared" si="30"/>
        <v>5.5E-2</v>
      </c>
      <c r="E72" s="11">
        <f t="shared" si="30"/>
        <v>7.0000000000000007E-2</v>
      </c>
      <c r="F72" s="11">
        <f t="shared" si="30"/>
        <v>7.0000000000000007E-2</v>
      </c>
      <c r="G72" s="11">
        <f t="shared" si="30"/>
        <v>0.04</v>
      </c>
      <c r="H72" s="11">
        <f t="shared" si="30"/>
        <v>0.08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144</v>
      </c>
      <c r="C73" s="11">
        <f t="shared" ref="C73:J73" si="31">IF(ISBLANK(C9),C7,C9)</f>
        <v>6.5000000000000002E-2</v>
      </c>
      <c r="D73" s="11">
        <f t="shared" si="31"/>
        <v>5.5E-2</v>
      </c>
      <c r="E73" s="11">
        <f t="shared" si="31"/>
        <v>7.0000000000000007E-2</v>
      </c>
      <c r="F73" s="11">
        <f t="shared" si="31"/>
        <v>7.0000000000000007E-2</v>
      </c>
      <c r="G73" s="11">
        <f t="shared" si="31"/>
        <v>0.04</v>
      </c>
      <c r="H73" s="11">
        <f t="shared" si="31"/>
        <v>0.08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145</v>
      </c>
      <c r="C75" s="6">
        <f t="shared" ref="C75:J79" si="32">C63*C69</f>
        <v>5284.8826589465161</v>
      </c>
      <c r="D75" s="6">
        <f t="shared" si="32"/>
        <v>3786.7518614849469</v>
      </c>
      <c r="E75" s="6">
        <f t="shared" si="32"/>
        <v>858.29501691632061</v>
      </c>
      <c r="F75" s="6">
        <f t="shared" si="32"/>
        <v>1353.804553281615</v>
      </c>
      <c r="G75" s="6">
        <f t="shared" si="32"/>
        <v>94.271912147419158</v>
      </c>
      <c r="H75" s="6">
        <f t="shared" si="32"/>
        <v>43.233431369699993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146</v>
      </c>
      <c r="C76" s="6">
        <f t="shared" si="32"/>
        <v>5496.2779653043772</v>
      </c>
      <c r="D76" s="6">
        <f t="shared" si="32"/>
        <v>3885.2074098835556</v>
      </c>
      <c r="E76" s="6">
        <f t="shared" si="32"/>
        <v>889.19363752530808</v>
      </c>
      <c r="F76" s="6">
        <f t="shared" si="32"/>
        <v>1394.4186898800635</v>
      </c>
      <c r="G76" s="6">
        <f t="shared" si="32"/>
        <v>97.477157160431403</v>
      </c>
      <c r="H76" s="6">
        <f t="shared" si="32"/>
        <v>42.109362154087798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147</v>
      </c>
      <c r="C77" s="6">
        <f t="shared" si="32"/>
        <v>5688.6476940900302</v>
      </c>
      <c r="D77" s="6">
        <f t="shared" si="32"/>
        <v>3978.4523877207612</v>
      </c>
      <c r="E77" s="6">
        <f t="shared" si="32"/>
        <v>919.42622120116857</v>
      </c>
      <c r="F77" s="6">
        <f t="shared" si="32"/>
        <v>1436.2512505764655</v>
      </c>
      <c r="G77" s="6">
        <f t="shared" si="32"/>
        <v>100.49894903240477</v>
      </c>
      <c r="H77" s="6">
        <f t="shared" si="32"/>
        <v>41.519831083930569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148</v>
      </c>
      <c r="C78" s="6">
        <f t="shared" si="32"/>
        <v>5859.3071249127306</v>
      </c>
      <c r="D78" s="6">
        <f t="shared" si="32"/>
        <v>4065.9783402506177</v>
      </c>
      <c r="E78" s="6">
        <f t="shared" si="32"/>
        <v>948.84786027960592</v>
      </c>
      <c r="F78" s="6">
        <f t="shared" si="32"/>
        <v>1479.3387880937594</v>
      </c>
      <c r="G78" s="6">
        <f t="shared" si="32"/>
        <v>103.31291960531209</v>
      </c>
      <c r="H78" s="6">
        <f t="shared" si="32"/>
        <v>41.436791421762713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149</v>
      </c>
      <c r="C79" s="6">
        <f t="shared" si="32"/>
        <v>6005.7898030355491</v>
      </c>
      <c r="D79" s="6">
        <f t="shared" si="32"/>
        <v>4147.2979070556303</v>
      </c>
      <c r="E79" s="6">
        <f t="shared" si="32"/>
        <v>977.3132960879941</v>
      </c>
      <c r="F79" s="6">
        <f t="shared" si="32"/>
        <v>1523.7189517365723</v>
      </c>
      <c r="G79" s="6">
        <f t="shared" si="32"/>
        <v>105.89574259544489</v>
      </c>
      <c r="H79" s="6">
        <f t="shared" si="32"/>
        <v>41.851159335980341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150</v>
      </c>
      <c r="C81" s="6">
        <f>C75*(1-Inputs!B22)</f>
        <v>3963.6619942098869</v>
      </c>
      <c r="D81" s="6">
        <f>D75*(1-Inputs!B22)</f>
        <v>2840.0638961137101</v>
      </c>
      <c r="E81" s="6">
        <f>E75*(1-Inputs!B22)</f>
        <v>643.72126268724048</v>
      </c>
      <c r="F81" s="6">
        <f>F75*(1-Inputs!B22)</f>
        <v>1015.3534149612112</v>
      </c>
      <c r="G81" s="6">
        <f>G75*(1-Inputs!B22)</f>
        <v>70.703934110564376</v>
      </c>
      <c r="H81" s="6">
        <f>H75*(1-Inputs!B22)</f>
        <v>32.425073527274996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151</v>
      </c>
      <c r="C82" s="6">
        <f>C76*(1-Inputs!B22)</f>
        <v>4122.2084739782831</v>
      </c>
      <c r="D82" s="6">
        <f>D76*(1-Inputs!B22)</f>
        <v>2913.9055574126669</v>
      </c>
      <c r="E82" s="6">
        <f>E76*(1-Inputs!B22)</f>
        <v>666.89522814398106</v>
      </c>
      <c r="F82" s="6">
        <f>F76*(1-Inputs!B22)</f>
        <v>1045.8140174100477</v>
      </c>
      <c r="G82" s="6">
        <f>G76*(1-Inputs!B22)</f>
        <v>73.10786787032356</v>
      </c>
      <c r="H82" s="6">
        <f>H76*(1-Inputs!B22)</f>
        <v>31.58202161556585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152</v>
      </c>
      <c r="C83" s="6">
        <f>C77*(1-Inputs!B22)</f>
        <v>4266.4857705675222</v>
      </c>
      <c r="D83" s="6">
        <f>D77*(1-Inputs!B22)</f>
        <v>2983.8392907905709</v>
      </c>
      <c r="E83" s="6">
        <f>E77*(1-Inputs!B22)</f>
        <v>689.56966590087643</v>
      </c>
      <c r="F83" s="6">
        <f>F77*(1-Inputs!B22)</f>
        <v>1077.1884379323492</v>
      </c>
      <c r="G83" s="6">
        <f>G77*(1-Inputs!B22)</f>
        <v>75.374211774303575</v>
      </c>
      <c r="H83" s="6">
        <f>H77*(1-Inputs!B22)</f>
        <v>31.139873312947927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153</v>
      </c>
      <c r="C84" s="6">
        <f>C78*(1-Inputs!B22)</f>
        <v>4394.4803436845477</v>
      </c>
      <c r="D84" s="6">
        <f>D78*(1-Inputs!B22)</f>
        <v>3049.4837551879632</v>
      </c>
      <c r="E84" s="6">
        <f>E78*(1-Inputs!B22)</f>
        <v>711.63589520970447</v>
      </c>
      <c r="F84" s="6">
        <f>F78*(1-Inputs!B22)</f>
        <v>1109.5040910703196</v>
      </c>
      <c r="G84" s="6">
        <f>G78*(1-Inputs!B22)</f>
        <v>77.48468970398406</v>
      </c>
      <c r="H84" s="6">
        <f>H78*(1-Inputs!B22)</f>
        <v>31.077593566322037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154</v>
      </c>
      <c r="C85" s="6">
        <f>C79*(1-Inputs!B22)</f>
        <v>4504.3423522766616</v>
      </c>
      <c r="D85" s="6">
        <f>D79*(1-Inputs!B22)</f>
        <v>3110.4734302917227</v>
      </c>
      <c r="E85" s="6">
        <f>E79*(1-Inputs!B22)</f>
        <v>732.98497206599563</v>
      </c>
      <c r="F85" s="6">
        <f>F79*(1-Inputs!B22)</f>
        <v>1142.7892138024292</v>
      </c>
      <c r="G85" s="6">
        <f>G79*(1-Inputs!B22)</f>
        <v>79.421806946583672</v>
      </c>
      <c r="H85" s="6">
        <f>H79*(1-Inputs!B22)</f>
        <v>31.388369501985256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155</v>
      </c>
      <c r="C87" s="6">
        <f t="shared" ref="C87:J87" si="33">C63*MAX(IF(ISBLANK(C26),C12,C26),0)</f>
        <v>2845.7060471250475</v>
      </c>
      <c r="D87" s="6">
        <f t="shared" si="33"/>
        <v>2409.7511845813301</v>
      </c>
      <c r="E87" s="6">
        <f t="shared" si="33"/>
        <v>245.22714769037728</v>
      </c>
      <c r="F87" s="6">
        <f t="shared" si="33"/>
        <v>290.10097570320318</v>
      </c>
      <c r="G87" s="6">
        <f t="shared" si="33"/>
        <v>23.56797803685479</v>
      </c>
      <c r="H87" s="6">
        <f t="shared" si="33"/>
        <v>10.808357842424998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156</v>
      </c>
      <c r="C88" s="6">
        <f t="shared" ref="C88:J88" si="34">C64*MAX(IF(ISBLANK(C26),C12,C26),0)</f>
        <v>2959.5342890100492</v>
      </c>
      <c r="D88" s="6">
        <f t="shared" si="34"/>
        <v>2472.4047153804445</v>
      </c>
      <c r="E88" s="6">
        <f t="shared" si="34"/>
        <v>254.05532500723086</v>
      </c>
      <c r="F88" s="6">
        <f t="shared" si="34"/>
        <v>298.80400497429929</v>
      </c>
      <c r="G88" s="6">
        <f t="shared" si="34"/>
        <v>24.369289290107851</v>
      </c>
      <c r="H88" s="6">
        <f t="shared" si="34"/>
        <v>10.527340538521949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157</v>
      </c>
      <c r="C89" s="6">
        <f t="shared" ref="C89:J89" si="35">C65*MAX(IF(ISBLANK(C26),C12,C26),0)</f>
        <v>3063.117989125401</v>
      </c>
      <c r="D89" s="6">
        <f t="shared" si="35"/>
        <v>2531.7424285495754</v>
      </c>
      <c r="E89" s="6">
        <f t="shared" si="35"/>
        <v>262.69320605747669</v>
      </c>
      <c r="F89" s="6">
        <f t="shared" si="35"/>
        <v>307.76812512352831</v>
      </c>
      <c r="G89" s="6">
        <f t="shared" si="35"/>
        <v>25.124737258101192</v>
      </c>
      <c r="H89" s="6">
        <f t="shared" si="35"/>
        <v>10.379957770982642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158</v>
      </c>
      <c r="C90" s="6">
        <f t="shared" ref="C90:J90" si="36">C66*MAX(IF(ISBLANK(C26),C12,C26),0)</f>
        <v>3155.011528799163</v>
      </c>
      <c r="D90" s="6">
        <f t="shared" si="36"/>
        <v>2587.4407619776662</v>
      </c>
      <c r="E90" s="6">
        <f t="shared" si="36"/>
        <v>271.09938865131596</v>
      </c>
      <c r="F90" s="6">
        <f t="shared" si="36"/>
        <v>317.00116887723414</v>
      </c>
      <c r="G90" s="6">
        <f t="shared" si="36"/>
        <v>25.828229901328022</v>
      </c>
      <c r="H90" s="6">
        <f t="shared" si="36"/>
        <v>10.359197855440678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159</v>
      </c>
      <c r="C91" s="6">
        <f t="shared" ref="C91:J91" si="37">C67*MAX(IF(ISBLANK(C26),C12,C26),0)</f>
        <v>3233.8868170191417</v>
      </c>
      <c r="D91" s="6">
        <f t="shared" si="37"/>
        <v>2639.1895772172197</v>
      </c>
      <c r="E91" s="6">
        <f t="shared" si="37"/>
        <v>279.23237031085546</v>
      </c>
      <c r="F91" s="6">
        <f t="shared" si="37"/>
        <v>326.51120394355115</v>
      </c>
      <c r="G91" s="6">
        <f t="shared" si="37"/>
        <v>26.473935648861222</v>
      </c>
      <c r="H91" s="6">
        <f t="shared" si="37"/>
        <v>10.462789833995085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160</v>
      </c>
      <c r="C93" s="6">
        <f t="shared" ref="C93:J97" si="38">C81-C87</f>
        <v>1117.9559470848394</v>
      </c>
      <c r="D93" s="6">
        <f t="shared" si="38"/>
        <v>430.31271153238004</v>
      </c>
      <c r="E93" s="6">
        <f t="shared" si="38"/>
        <v>398.49411499686323</v>
      </c>
      <c r="F93" s="6">
        <f t="shared" si="38"/>
        <v>725.25243925800805</v>
      </c>
      <c r="G93" s="6">
        <f t="shared" si="38"/>
        <v>47.135956073709586</v>
      </c>
      <c r="H93" s="6">
        <f t="shared" si="38"/>
        <v>21.61671568485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161</v>
      </c>
      <c r="C94" s="6">
        <f t="shared" si="38"/>
        <v>1162.6741849682339</v>
      </c>
      <c r="D94" s="6">
        <f t="shared" si="38"/>
        <v>441.50084203222241</v>
      </c>
      <c r="E94" s="6">
        <f t="shared" si="38"/>
        <v>412.83990313675019</v>
      </c>
      <c r="F94" s="6">
        <f t="shared" si="38"/>
        <v>747.01001243574842</v>
      </c>
      <c r="G94" s="6">
        <f t="shared" si="38"/>
        <v>48.738578580215709</v>
      </c>
      <c r="H94" s="6">
        <f t="shared" si="38"/>
        <v>21.054681077043902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162</v>
      </c>
      <c r="C95" s="6">
        <f t="shared" si="38"/>
        <v>1203.3677814421212</v>
      </c>
      <c r="D95" s="6">
        <f t="shared" si="38"/>
        <v>452.09686224099551</v>
      </c>
      <c r="E95" s="6">
        <f t="shared" si="38"/>
        <v>426.87645984339974</v>
      </c>
      <c r="F95" s="6">
        <f t="shared" si="38"/>
        <v>769.42031280882088</v>
      </c>
      <c r="G95" s="6">
        <f t="shared" si="38"/>
        <v>50.249474516202383</v>
      </c>
      <c r="H95" s="6">
        <f t="shared" si="38"/>
        <v>20.759915541965285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163</v>
      </c>
      <c r="C96" s="6">
        <f t="shared" si="38"/>
        <v>1239.4688148853847</v>
      </c>
      <c r="D96" s="6">
        <f t="shared" si="38"/>
        <v>462.04299321029703</v>
      </c>
      <c r="E96" s="6">
        <f t="shared" si="38"/>
        <v>440.53650655838851</v>
      </c>
      <c r="F96" s="6">
        <f t="shared" si="38"/>
        <v>792.50292219308551</v>
      </c>
      <c r="G96" s="6">
        <f t="shared" si="38"/>
        <v>51.656459802656038</v>
      </c>
      <c r="H96" s="6">
        <f t="shared" si="38"/>
        <v>20.71839571088136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164</v>
      </c>
      <c r="C97" s="6">
        <f t="shared" si="38"/>
        <v>1270.4555352575198</v>
      </c>
      <c r="D97" s="6">
        <f t="shared" si="38"/>
        <v>471.28385307450299</v>
      </c>
      <c r="E97" s="6">
        <f t="shared" si="38"/>
        <v>453.75260175514018</v>
      </c>
      <c r="F97" s="6">
        <f t="shared" si="38"/>
        <v>816.27800985887802</v>
      </c>
      <c r="G97" s="6">
        <f t="shared" si="38"/>
        <v>52.94787129772245</v>
      </c>
      <c r="H97" s="6">
        <f t="shared" si="38"/>
        <v>20.925579667990171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165</v>
      </c>
      <c r="C99" s="6">
        <f t="shared" ref="C99:J99" si="39">C93/(((1+C16)*(1+C16+(C104-C16)*1/5)*(1+C16+(C104-C16)*2/5)*(1+C16+(C104-C16)*3/5)*(1+C16+(C104-C16)*4/5))*(1+C104)^1)</f>
        <v>745.8267073886683</v>
      </c>
      <c r="D99" s="6">
        <f t="shared" si="39"/>
        <v>287.0763500355792</v>
      </c>
      <c r="E99" s="6">
        <f t="shared" si="39"/>
        <v>263.46453437217554</v>
      </c>
      <c r="F99" s="6">
        <f t="shared" si="39"/>
        <v>473.07604566938346</v>
      </c>
      <c r="G99" s="6">
        <f t="shared" si="39"/>
        <v>31.446010918177851</v>
      </c>
      <c r="H99" s="6">
        <f t="shared" si="39"/>
        <v>14.459768077691932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166</v>
      </c>
      <c r="C100" s="6">
        <f t="shared" ref="C100:J100" si="40">C94/(((1+C16)*(1+C16+(C104-C16)*1/5)*(1+C16+(C104-C16)*2/5)*(1+C16+(C104-C16)*3/5)*(1+C16+(C104-C16)*4/5))*(1+C104)^2)</f>
        <v>720.93655686972579</v>
      </c>
      <c r="D100" s="6">
        <f t="shared" si="40"/>
        <v>273.7603543837962</v>
      </c>
      <c r="E100" s="6">
        <f t="shared" si="40"/>
        <v>253.31404159209697</v>
      </c>
      <c r="F100" s="6">
        <f t="shared" si="40"/>
        <v>451.20582158371587</v>
      </c>
      <c r="G100" s="6">
        <f t="shared" si="40"/>
        <v>30.221211997843824</v>
      </c>
      <c r="H100" s="6">
        <f t="shared" si="40"/>
        <v>13.090193366572043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167</v>
      </c>
      <c r="C101" s="6">
        <f t="shared" ref="C101:J101" si="41">C95/(((1+C16)*(1+C16+(C104-C16)*1/5)*(1+C16+(C104-C16)*2/5)*(1+C16+(C104-C16)*3/5)*(1+C16+(C104-C16)*4/5))*(1+C104)^3)</f>
        <v>693.52668407065994</v>
      </c>
      <c r="D101" s="6">
        <f t="shared" si="41"/>
        <v>260.55312647061101</v>
      </c>
      <c r="E101" s="6">
        <f t="shared" si="41"/>
        <v>243.08443398417938</v>
      </c>
      <c r="F101" s="6">
        <f t="shared" si="41"/>
        <v>430.34665418953745</v>
      </c>
      <c r="G101" s="6">
        <f t="shared" si="41"/>
        <v>28.959850824451486</v>
      </c>
      <c r="H101" s="6">
        <f t="shared" si="41"/>
        <v>11.99633968535356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168</v>
      </c>
      <c r="C102" s="6">
        <f t="shared" ref="C102:J102" si="42">C96/(((1+C16)*(1+C16+(C104-C16)*1/5)*(1+C16+(C104-C16)*2/5)*(1+C16+(C104-C16)*3/5)*(1+C16+(C104-C16)*4/5))*(1+C104)^4)</f>
        <v>663.93593950161937</v>
      </c>
      <c r="D102" s="6">
        <f t="shared" si="42"/>
        <v>247.49872292316286</v>
      </c>
      <c r="E102" s="6">
        <f t="shared" si="42"/>
        <v>232.81673447530903</v>
      </c>
      <c r="F102" s="6">
        <f t="shared" si="42"/>
        <v>410.45180251019434</v>
      </c>
      <c r="G102" s="6">
        <f t="shared" si="42"/>
        <v>27.670385699518803</v>
      </c>
      <c r="H102" s="6">
        <f t="shared" si="42"/>
        <v>11.127691416676996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169</v>
      </c>
      <c r="C103" s="6">
        <f t="shared" ref="C103:J103" si="43">C97/(((1+C16)*(1+C16+(C104-C16)*1/5)*(1+C16+(C104-C16)*2/5)*(1+C16+(C104-C16)*3/5)*(1+C16+(C104-C16)*4/5))*(1+C104)^5)</f>
        <v>632.52227051317914</v>
      </c>
      <c r="D103" s="6">
        <f t="shared" si="43"/>
        <v>234.63830455306734</v>
      </c>
      <c r="E103" s="6">
        <f t="shared" si="43"/>
        <v>222.55059761294774</v>
      </c>
      <c r="F103" s="6">
        <f t="shared" si="43"/>
        <v>391.47668639633031</v>
      </c>
      <c r="G103" s="6">
        <f t="shared" si="43"/>
        <v>26.361180570783585</v>
      </c>
      <c r="H103" s="6">
        <f t="shared" si="43"/>
        <v>10.4460530057254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170</v>
      </c>
      <c r="C104" s="11">
        <f>MAX((Inputs!B18+((1+(1-Inputs!B22)*(Inputs!B36/(1-Inputs!B36)))/(1+(1-Inputs!B22)*0.25))*Inputs!B19+IF(ISBLANK(C17),Inputs!B24,C17)+Inputs!B25+Inputs!B39)*(1-Inputs!B36)+Inputs!B38*Inputs!B36,C15)</f>
        <v>7.5905734413157899E-2</v>
      </c>
      <c r="D104" s="11">
        <f>MAX((Inputs!B18+((1+(1-Inputs!B22)*(Inputs!B36/(1-Inputs!B36)))/(1+(1-Inputs!B22)*0.25))*Inputs!B19+IF(ISBLANK(D17),Inputs!B24,D17)+Inputs!B25+Inputs!B39)*(1-Inputs!B36)+Inputs!B38*Inputs!B36,D15)</f>
        <v>7.5905734413157899E-2</v>
      </c>
      <c r="E104" s="11">
        <f>MAX((Inputs!B18+((1+(1-Inputs!B22)*(Inputs!B36/(1-Inputs!B36)))/(1+(1-Inputs!B22)*0.25))*Inputs!B19+IF(ISBLANK(E17),Inputs!B24,E17)+Inputs!B25+Inputs!B39)*(1-Inputs!B36)+Inputs!B38*Inputs!B36,E15)</f>
        <v>7.75133344131579E-2</v>
      </c>
      <c r="F104" s="11">
        <f>MAX((Inputs!B18+((1+(1-Inputs!B22)*(Inputs!B36/(1-Inputs!B36)))/(1+(1-Inputs!B22)*0.25))*Inputs!B19+IF(ISBLANK(F17),Inputs!B24,F17)+Inputs!B25+Inputs!B39)*(1-Inputs!B36)+Inputs!B38*Inputs!B36,F15)</f>
        <v>7.9924734413157894E-2</v>
      </c>
      <c r="G104" s="11">
        <f>MAX((Inputs!B18+((1+(1-Inputs!B22)*(Inputs!B36/(1-Inputs!B36)))/(1+(1-Inputs!B22)*0.25))*Inputs!B19+IF(ISBLANK(G17),Inputs!B24,G17)+Inputs!B25+Inputs!B39)*(1-Inputs!B36)+Inputs!B38*Inputs!B36,G15)</f>
        <v>7.5905734413157899E-2</v>
      </c>
      <c r="H104" s="11">
        <f>MAX((Inputs!B18+((1+(1-Inputs!B22)*(Inputs!B36/(1-Inputs!B36)))/(1+(1-Inputs!B22)*0.25))*Inputs!B19+IF(ISBLANK(H17),Inputs!B24,H17)+Inputs!B25+Inputs!B39)*(1-Inputs!B36)+Inputs!B38*Inputs!B36,H15)</f>
        <v>7.5905734413157899E-2</v>
      </c>
      <c r="I104" s="11">
        <f>MAX((Inputs!B18+((1+(1-Inputs!B22)*(Inputs!B36/(1-Inputs!B36)))/(1+(1-Inputs!B22)*0.25))*Inputs!B19+IF(ISBLANK(I17),Inputs!B24,I17)+Inputs!B25+Inputs!B39)*(1-Inputs!B36)+Inputs!B38*Inputs!B36,I15)</f>
        <v>7.5905734413157899E-2</v>
      </c>
      <c r="J104" s="11">
        <f>MAX((Inputs!B18+((1+(1-Inputs!B22)*(Inputs!B36/(1-Inputs!B36)))/(1+(1-Inputs!B22)*0.25))*Inputs!B19+IF(ISBLANK(J17),Inputs!B24,J17)+Inputs!B25+Inputs!B39)*(1-Inputs!B36)+Inputs!B38*Inputs!B36,J15)</f>
        <v>7.5905734413157899E-2</v>
      </c>
    </row>
    <row r="105" spans="1:11" x14ac:dyDescent="0.25">
      <c r="A105" s="4" t="s">
        <v>171</v>
      </c>
      <c r="C105" s="6">
        <f t="shared" ref="C105:J105" si="44">SUM(C57:C61,C99:C103)</f>
        <v>-1539.4083445570118</v>
      </c>
      <c r="D105" s="6">
        <f t="shared" si="44"/>
        <v>-2235.5959230289955</v>
      </c>
      <c r="E105" s="6">
        <f t="shared" si="44"/>
        <v>3363.0224858308211</v>
      </c>
      <c r="F105" s="6">
        <f t="shared" si="44"/>
        <v>5849.4661435052303</v>
      </c>
      <c r="G105" s="6">
        <f t="shared" si="44"/>
        <v>317.80064323426677</v>
      </c>
      <c r="H105" s="6">
        <f t="shared" si="44"/>
        <v>-220.20394628011854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172</v>
      </c>
      <c r="C106" s="6">
        <f t="shared" ref="C106:J106" si="45">IF(C5=0,0,C97*(1+C13)/(C104-C13))</f>
        <v>25580.947581857621</v>
      </c>
      <c r="D106" s="6">
        <f t="shared" si="45"/>
        <v>8598.5728509248238</v>
      </c>
      <c r="E106" s="6">
        <f t="shared" si="45"/>
        <v>9836.5055953296051</v>
      </c>
      <c r="F106" s="6">
        <f t="shared" si="45"/>
        <v>16840.677472548687</v>
      </c>
      <c r="G106" s="6">
        <f t="shared" si="45"/>
        <v>1066.1189491873361</v>
      </c>
      <c r="H106" s="6">
        <f t="shared" si="45"/>
        <v>320.68280025797816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173</v>
      </c>
      <c r="C107" s="6">
        <f t="shared" ref="C107:J107" si="46">C106/(((1+C16)*(1+C16+(C104-C16)*1/5)*(1+C16+(C104-C16)*2/5)*(1+C16+(C104-C16)*3/5)*(1+C16+(C104-C16)*4/5))*(1+C104)^5)</f>
        <v>12735.997913595165</v>
      </c>
      <c r="D107" s="6">
        <f t="shared" si="46"/>
        <v>4280.9753445936321</v>
      </c>
      <c r="E107" s="6">
        <f t="shared" si="46"/>
        <v>4824.4796618158653</v>
      </c>
      <c r="F107" s="6">
        <f t="shared" si="46"/>
        <v>8076.5775066787228</v>
      </c>
      <c r="G107" s="6">
        <f t="shared" si="46"/>
        <v>530.78912221859832</v>
      </c>
      <c r="H107" s="6">
        <f t="shared" si="46"/>
        <v>160.08490960198256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174</v>
      </c>
      <c r="C109" s="20">
        <f t="shared" ref="C109:J109" si="47">C105+C107</f>
        <v>11196.589569038153</v>
      </c>
      <c r="D109" s="20">
        <f t="shared" si="47"/>
        <v>2045.3794215646367</v>
      </c>
      <c r="E109" s="20">
        <f t="shared" si="47"/>
        <v>8187.5021476466864</v>
      </c>
      <c r="F109" s="20">
        <f t="shared" si="47"/>
        <v>13926.043650183954</v>
      </c>
      <c r="G109" s="20">
        <f t="shared" si="47"/>
        <v>848.58976545286509</v>
      </c>
      <c r="H109" s="20">
        <f t="shared" si="47"/>
        <v>-60.119036678135984</v>
      </c>
      <c r="I109" s="20">
        <f t="shared" si="47"/>
        <v>0</v>
      </c>
      <c r="J109" s="20">
        <f t="shared" si="47"/>
        <v>0</v>
      </c>
      <c r="K109" s="20">
        <f>SUM(C109:J109)</f>
        <v>36143.985517208159</v>
      </c>
    </row>
    <row r="110" spans="1:11" x14ac:dyDescent="0.25">
      <c r="A110" s="4" t="s">
        <v>175</v>
      </c>
      <c r="K110" s="11">
        <f>IFERROR(SUMPRODUCT(C109:J109,C16:J16)/SUM(C109:J109),0)</f>
        <v>6.5601270783229707E-2</v>
      </c>
    </row>
    <row r="111" spans="1:11" x14ac:dyDescent="0.25">
      <c r="A111" s="4" t="s">
        <v>176</v>
      </c>
      <c r="K111" s="5">
        <v>-6694</v>
      </c>
    </row>
    <row r="112" spans="1:11" x14ac:dyDescent="0.25">
      <c r="A112" s="4" t="s">
        <v>177</v>
      </c>
      <c r="K112" s="5">
        <v>0</v>
      </c>
    </row>
    <row r="113" spans="1:11" x14ac:dyDescent="0.25">
      <c r="A113" s="4" t="s">
        <v>178</v>
      </c>
      <c r="K113" s="5">
        <v>0</v>
      </c>
    </row>
    <row r="114" spans="1:11" x14ac:dyDescent="0.25">
      <c r="A114" s="4" t="s">
        <v>179</v>
      </c>
      <c r="K114" s="5">
        <v>0</v>
      </c>
    </row>
    <row r="115" spans="1:11" x14ac:dyDescent="0.25">
      <c r="A115" s="4" t="s">
        <v>180</v>
      </c>
      <c r="K115" s="5">
        <v>0</v>
      </c>
    </row>
    <row r="116" spans="1:11" x14ac:dyDescent="0.25">
      <c r="A116" s="4" t="s">
        <v>181</v>
      </c>
      <c r="K116" s="5">
        <v>-220</v>
      </c>
    </row>
    <row r="117" spans="1:11" x14ac:dyDescent="0.25">
      <c r="A117" s="4" t="s">
        <v>182</v>
      </c>
      <c r="K117" s="5">
        <v>0</v>
      </c>
    </row>
    <row r="118" spans="1:11" x14ac:dyDescent="0.25">
      <c r="A118" s="4" t="s">
        <v>183</v>
      </c>
      <c r="K118" s="5">
        <v>-4000</v>
      </c>
    </row>
    <row r="119" spans="1:11" x14ac:dyDescent="0.25">
      <c r="A119" s="4" t="s">
        <v>184</v>
      </c>
      <c r="K119" s="20">
        <f>K109+K113+K114+K115+K116+K117+K118-K111-K112</f>
        <v>38617.985517208159</v>
      </c>
    </row>
    <row r="120" spans="1:11" x14ac:dyDescent="0.25">
      <c r="A120" s="4" t="s">
        <v>185</v>
      </c>
      <c r="K120" s="6">
        <f>Inputs!B11</f>
        <v>2886.7</v>
      </c>
    </row>
    <row r="122" spans="1:11" ht="15.75" customHeight="1" x14ac:dyDescent="0.25">
      <c r="A122" s="4" t="s">
        <v>186</v>
      </c>
      <c r="K122" s="21">
        <f>K119/K120</f>
        <v>13.377900549834814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187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/>
      <c r="J4" s="14"/>
    </row>
    <row r="5" spans="1:11" x14ac:dyDescent="0.25">
      <c r="A5" s="4" t="s">
        <v>65</v>
      </c>
      <c r="C5" s="5">
        <v>60962</v>
      </c>
      <c r="D5" s="5">
        <v>57773</v>
      </c>
      <c r="E5" s="5">
        <v>9709</v>
      </c>
      <c r="F5" s="5">
        <v>16197</v>
      </c>
      <c r="G5" s="5">
        <v>1868</v>
      </c>
      <c r="H5" s="5">
        <v>726</v>
      </c>
      <c r="I5" s="5"/>
      <c r="J5" s="5"/>
    </row>
    <row r="6" spans="1:11" x14ac:dyDescent="0.25">
      <c r="A6" s="4" t="s">
        <v>66</v>
      </c>
      <c r="C6" s="7">
        <v>7.0000000000000007E-2</v>
      </c>
      <c r="D6" s="7">
        <v>4.3405381558938673E-2</v>
      </c>
      <c r="E6" s="7">
        <v>5.3405381558938668E-2</v>
      </c>
      <c r="F6" s="7">
        <v>4.3405381558938673E-2</v>
      </c>
      <c r="G6" s="7">
        <v>5.3405381558938668E-2</v>
      </c>
      <c r="H6" s="7">
        <v>-3.6594618441061343E-2</v>
      </c>
      <c r="I6" s="7"/>
      <c r="J6" s="7"/>
    </row>
    <row r="7" spans="1:11" x14ac:dyDescent="0.25">
      <c r="A7" s="4" t="s">
        <v>67</v>
      </c>
      <c r="C7" s="7">
        <v>4.0000000000000001E-3</v>
      </c>
      <c r="D7" s="7">
        <v>1.9E-2</v>
      </c>
      <c r="E7" s="7">
        <v>0.1323423025982311</v>
      </c>
      <c r="F7" s="7">
        <v>0.12734230259823109</v>
      </c>
      <c r="G7" s="7">
        <v>6.2342302598231113E-2</v>
      </c>
      <c r="H7" s="7">
        <v>-0.27765769740176888</v>
      </c>
      <c r="I7" s="7"/>
      <c r="J7" s="7"/>
    </row>
    <row r="8" spans="1:11" x14ac:dyDescent="0.25">
      <c r="A8" s="4" t="s">
        <v>68</v>
      </c>
      <c r="C8" s="15">
        <v>-0.317</v>
      </c>
      <c r="D8" s="15">
        <v>-0.124</v>
      </c>
      <c r="E8" s="15">
        <v>0.11799999999999999</v>
      </c>
      <c r="F8" s="15">
        <v>0.10199999999999999</v>
      </c>
      <c r="G8" s="15">
        <v>4.3999999999999997E-2</v>
      </c>
      <c r="H8" s="15">
        <v>-0.6</v>
      </c>
      <c r="I8" s="15"/>
      <c r="J8" s="15"/>
    </row>
    <row r="9" spans="1:11" x14ac:dyDescent="0.25">
      <c r="A9" s="4" t="s">
        <v>69</v>
      </c>
      <c r="C9" s="7">
        <v>0.08</v>
      </c>
      <c r="D9" s="7">
        <v>7.7342302598231105E-2</v>
      </c>
      <c r="E9" s="7">
        <v>9.2342302598231119E-2</v>
      </c>
      <c r="F9" s="7">
        <v>9.2342302598231119E-2</v>
      </c>
      <c r="G9" s="7">
        <v>6.2342302598231113E-2</v>
      </c>
      <c r="H9" s="7">
        <v>0.1023423025982311</v>
      </c>
      <c r="I9" s="7"/>
      <c r="J9" s="7"/>
    </row>
    <row r="10" spans="1:11" x14ac:dyDescent="0.25">
      <c r="A10" s="4" t="s">
        <v>70</v>
      </c>
      <c r="C10" s="7">
        <v>6.2E-2</v>
      </c>
      <c r="D10" s="7">
        <v>6.2E-2</v>
      </c>
      <c r="E10" s="7">
        <v>0.03</v>
      </c>
      <c r="F10" s="7">
        <v>2.5000000000000001E-2</v>
      </c>
      <c r="G10" s="7">
        <v>0.02</v>
      </c>
      <c r="H10" s="7">
        <v>0.05</v>
      </c>
      <c r="I10" s="7"/>
      <c r="J10" s="7"/>
    </row>
    <row r="11" spans="1:11" x14ac:dyDescent="0.25">
      <c r="A11" s="4" t="s">
        <v>71</v>
      </c>
      <c r="C11" s="7">
        <v>4.4999999999999998E-2</v>
      </c>
      <c r="D11" s="7">
        <v>4.4999999999999998E-2</v>
      </c>
      <c r="E11" s="7">
        <v>2.5000000000000001E-2</v>
      </c>
      <c r="F11" s="7">
        <v>2.5000000000000001E-2</v>
      </c>
      <c r="G11" s="7">
        <v>2.5000000000000001E-2</v>
      </c>
      <c r="H11" s="7">
        <v>0.08</v>
      </c>
      <c r="I11" s="7"/>
      <c r="J11" s="7"/>
    </row>
    <row r="12" spans="1:11" x14ac:dyDescent="0.25">
      <c r="A12" s="4" t="s">
        <v>72</v>
      </c>
      <c r="C12" s="7">
        <v>3.5000000000000003E-2</v>
      </c>
      <c r="D12" s="7">
        <v>3.5000000000000003E-2</v>
      </c>
      <c r="E12" s="7">
        <v>0.02</v>
      </c>
      <c r="F12" s="7">
        <v>1.4999999999999999E-2</v>
      </c>
      <c r="G12" s="7">
        <v>0.01</v>
      </c>
      <c r="H12" s="7">
        <v>0</v>
      </c>
      <c r="I12" s="7"/>
      <c r="J12" s="7"/>
    </row>
    <row r="13" spans="1:11" x14ac:dyDescent="0.25">
      <c r="A13" s="4" t="s">
        <v>73</v>
      </c>
      <c r="C13" s="7">
        <v>2.946846051964622E-2</v>
      </c>
      <c r="D13" s="7">
        <v>2.4468460519646219E-2</v>
      </c>
      <c r="E13" s="7">
        <v>3.4468460519646221E-2</v>
      </c>
      <c r="F13" s="7">
        <v>3.4468460519646221E-2</v>
      </c>
      <c r="G13" s="7">
        <v>2.946846051964622E-2</v>
      </c>
      <c r="H13" s="7">
        <v>1.4468460519646221E-2</v>
      </c>
      <c r="I13" s="7"/>
      <c r="J13" s="7"/>
    </row>
    <row r="14" spans="1:11" x14ac:dyDescent="0.25">
      <c r="A14" s="4" t="s">
        <v>74</v>
      </c>
      <c r="C14" s="9">
        <v>0.64800000000000002</v>
      </c>
      <c r="D14" s="9">
        <v>0.64800000000000002</v>
      </c>
      <c r="E14" s="9">
        <v>0.64800000000000002</v>
      </c>
      <c r="F14" s="9">
        <v>0.64800000000000002</v>
      </c>
      <c r="G14" s="9">
        <v>0.64800000000000002</v>
      </c>
      <c r="H14" s="9">
        <v>0.61854545454545462</v>
      </c>
      <c r="I14" s="9"/>
      <c r="J14" s="9"/>
    </row>
    <row r="15" spans="1:11" x14ac:dyDescent="0.25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6.3686898578934989E-2</v>
      </c>
      <c r="D16" s="11">
        <f>MAX((MAX(Inputs!B18+((1-0.33)*D14*(1+(1-Inputs!B22)*Inputs!B21)+0.33)*Inputs!B19+IF(ISBLANK(D17),Inputs!B24,D17)+Inputs!B25+Inputs!B39,MIN(Inputs!B27,0.08)+0.025))*Inputs!B29+Inputs!B28*Inputs!B30,D15)</f>
        <v>6.3686898578934989E-2</v>
      </c>
      <c r="E16" s="11">
        <f>MAX((MAX(Inputs!B18+((1-0.33)*E14*(1+(1-Inputs!B22)*Inputs!B21)+0.33)*Inputs!B19+IF(ISBLANK(E17),Inputs!B24,E17)+Inputs!B25+Inputs!B39,MIN(Inputs!B27,0.08)+0.025))*Inputs!B29+Inputs!B28*Inputs!B30,E15)</f>
        <v>6.529461562073563E-2</v>
      </c>
      <c r="F16" s="11">
        <f>MAX((MAX(Inputs!B18+((1-0.33)*F14*(1+(1-Inputs!B22)*Inputs!B21)+0.33)*Inputs!B19+IF(ISBLANK(F17),Inputs!B24,F17)+Inputs!B25+Inputs!B39,MIN(Inputs!B27,0.08)+0.025))*Inputs!B29+Inputs!B28*Inputs!B30,F15)</f>
        <v>6.7706191183436598E-2</v>
      </c>
      <c r="G16" s="11">
        <f>MAX((MAX(Inputs!B18+((1-0.33)*G14*(1+(1-Inputs!B22)*Inputs!B21)+0.33)*Inputs!B19+IF(ISBLANK(G17),Inputs!B24,G17)+Inputs!B25+Inputs!B39,MIN(Inputs!B27,0.08)+0.025))*Inputs!B29+Inputs!B28*Inputs!B30,G15)</f>
        <v>6.3686898578934989E-2</v>
      </c>
      <c r="H16" s="11">
        <f>MAX((MAX(Inputs!B18+((1-0.33)*H14*(1+(1-Inputs!B22)*Inputs!B21)+0.33)*Inputs!B19+IF(ISBLANK(H17),Inputs!B24,H17)+Inputs!B25+Inputs!B39,MIN(Inputs!B27,0.08)+0.025))*Inputs!B29+Inputs!B28*Inputs!B30,H15)</f>
        <v>6.2738609251253033E-2</v>
      </c>
      <c r="I16" s="11">
        <f>MAX((MAX(Inputs!B18+((1-0.33)*I14*(1+(1-Inputs!B22)*Inputs!B21)+0.33)*Inputs!B19+IF(ISBLANK(I17),Inputs!B24,I17)+Inputs!B25+Inputs!B39,MIN(Inputs!B27,0.08)+0.025))*Inputs!B29+Inputs!B28*Inputs!B30,I15)</f>
        <v>4.8077928528481431E-2</v>
      </c>
      <c r="J16" s="11">
        <f>MAX((MAX(Inputs!B18+((1-0.33)*J14*(1+(1-Inputs!B22)*Inputs!B21)+0.33)*Inputs!B19+IF(ISBLANK(J17),Inputs!B24,J17)+Inputs!B25+Inputs!B39,MIN(Inputs!B27,0.08)+0.025))*Inputs!B29+Inputs!B28*Inputs!B30,J15)</f>
        <v>4.8077928528481431E-2</v>
      </c>
    </row>
    <row r="17" spans="1:10" x14ac:dyDescent="0.25">
      <c r="A17" s="16" t="s">
        <v>77</v>
      </c>
      <c r="C17" s="7"/>
      <c r="D17" s="7"/>
      <c r="E17" s="7">
        <v>1.2E-2</v>
      </c>
      <c r="F17" s="7">
        <v>1.7999999999999999E-2</v>
      </c>
      <c r="G17" s="7">
        <v>8.0000000000000002E-3</v>
      </c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 t="s">
        <v>84</v>
      </c>
      <c r="I18" s="18"/>
      <c r="J18" s="18"/>
    </row>
    <row r="19" spans="1:10" ht="39.950000000000003" customHeight="1" x14ac:dyDescent="0.25">
      <c r="A19" s="17" t="s">
        <v>85</v>
      </c>
      <c r="C19" s="18" t="s">
        <v>86</v>
      </c>
      <c r="D19" s="18" t="s">
        <v>87</v>
      </c>
      <c r="E19" s="18" t="s">
        <v>88</v>
      </c>
      <c r="F19" s="18" t="s">
        <v>89</v>
      </c>
      <c r="G19" s="18" t="s">
        <v>90</v>
      </c>
      <c r="H19" s="18" t="s">
        <v>91</v>
      </c>
      <c r="I19" s="18"/>
      <c r="J19" s="18"/>
    </row>
    <row r="20" spans="1:10" ht="27.95" customHeight="1" x14ac:dyDescent="0.25">
      <c r="A20" s="17" t="s">
        <v>92</v>
      </c>
      <c r="C20" s="18" t="s">
        <v>93</v>
      </c>
      <c r="D20" s="18" t="s">
        <v>94</v>
      </c>
      <c r="E20" s="18" t="s">
        <v>95</v>
      </c>
      <c r="F20" s="18" t="s">
        <v>96</v>
      </c>
      <c r="G20" s="18" t="s">
        <v>97</v>
      </c>
      <c r="H20" s="18"/>
      <c r="I20" s="18"/>
      <c r="J20" s="18"/>
    </row>
    <row r="21" spans="1:10" x14ac:dyDescent="0.25">
      <c r="A21" s="4" t="s">
        <v>98</v>
      </c>
      <c r="C21" s="6">
        <f t="shared" ref="C21:J21" si="0">C5*(1+C6)^1</f>
        <v>65229.340000000004</v>
      </c>
      <c r="D21" s="6">
        <f t="shared" si="0"/>
        <v>60280.659108804561</v>
      </c>
      <c r="E21" s="6">
        <f t="shared" si="0"/>
        <v>10227.512849555735</v>
      </c>
      <c r="F21" s="6">
        <f t="shared" si="0"/>
        <v>16900.036965110128</v>
      </c>
      <c r="G21" s="6">
        <f t="shared" si="0"/>
        <v>1967.7612527520973</v>
      </c>
      <c r="H21" s="6">
        <f t="shared" si="0"/>
        <v>699.43230701178948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99</v>
      </c>
      <c r="C22" s="6">
        <f t="shared" ref="C22:J22" si="1">C5*(1+C6)^2</f>
        <v>69795.393800000005</v>
      </c>
      <c r="D22" s="6">
        <f t="shared" si="1"/>
        <v>62897.164118046523</v>
      </c>
      <c r="E22" s="6">
        <f t="shared" si="1"/>
        <v>10773.717075685207</v>
      </c>
      <c r="F22" s="6">
        <f t="shared" si="1"/>
        <v>17633.589517940898</v>
      </c>
      <c r="G22" s="6">
        <f t="shared" si="1"/>
        <v>2072.8502932722181</v>
      </c>
      <c r="H22" s="6">
        <f t="shared" si="1"/>
        <v>673.83684861134168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100</v>
      </c>
      <c r="C23" s="6">
        <f t="shared" ref="C23:J23" si="2">C5*(1+C6)^3</f>
        <v>74681.071366000004</v>
      </c>
      <c r="D23" s="6">
        <f t="shared" si="2"/>
        <v>65627.239525565514</v>
      </c>
      <c r="E23" s="6">
        <f t="shared" si="2"/>
        <v>11349.091546920226</v>
      </c>
      <c r="F23" s="6">
        <f t="shared" si="2"/>
        <v>18398.982199220824</v>
      </c>
      <c r="G23" s="6">
        <f t="shared" si="2"/>
        <v>2183.5516540989788</v>
      </c>
      <c r="H23" s="6">
        <f t="shared" si="2"/>
        <v>649.17804624488235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101</v>
      </c>
      <c r="C24" s="6">
        <f t="shared" ref="C24:J24" si="3">C5*(1+C6)^4</f>
        <v>79908.746361619997</v>
      </c>
      <c r="D24" s="6">
        <f t="shared" si="3"/>
        <v>68475.814897832533</v>
      </c>
      <c r="E24" s="6">
        <f t="shared" si="3"/>
        <v>11955.194111330828</v>
      </c>
      <c r="F24" s="6">
        <f t="shared" si="3"/>
        <v>19197.59704187412</v>
      </c>
      <c r="G24" s="6">
        <f t="shared" si="3"/>
        <v>2300.1650633397867</v>
      </c>
      <c r="H24" s="6">
        <f t="shared" si="3"/>
        <v>625.42162334223724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102</v>
      </c>
      <c r="C25" s="6">
        <f t="shared" ref="C25:J25" si="4">C5*(1+C6)^5</f>
        <v>85502.358606933412</v>
      </c>
      <c r="D25" s="6">
        <f t="shared" si="4"/>
        <v>71448.033771032206</v>
      </c>
      <c r="E25" s="6">
        <f t="shared" si="4"/>
        <v>12593.665814457627</v>
      </c>
      <c r="F25" s="6">
        <f t="shared" si="4"/>
        <v>20030.876066491419</v>
      </c>
      <c r="G25" s="6">
        <f t="shared" si="4"/>
        <v>2423.0062561959876</v>
      </c>
      <c r="H25" s="6">
        <f t="shared" si="4"/>
        <v>602.53455767123887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103</v>
      </c>
      <c r="C26" s="7">
        <v>3.5000000000000003E-2</v>
      </c>
      <c r="D26" s="7">
        <v>3.5000000000000003E-2</v>
      </c>
      <c r="E26" s="7"/>
      <c r="F26" s="7"/>
      <c r="G26" s="7"/>
      <c r="H26" s="7">
        <v>0.02</v>
      </c>
      <c r="I26" s="7"/>
      <c r="J26" s="7"/>
    </row>
    <row r="27" spans="1:10" x14ac:dyDescent="0.25">
      <c r="A27" s="4" t="s">
        <v>104</v>
      </c>
      <c r="C27" s="11">
        <f t="shared" ref="C27:J27" si="5">IF(ISBLANK(C9),C7,C7+(C9-C7)*(0)/4)</f>
        <v>4.0000000000000001E-3</v>
      </c>
      <c r="D27" s="11">
        <f t="shared" si="5"/>
        <v>1.9E-2</v>
      </c>
      <c r="E27" s="11">
        <f t="shared" si="5"/>
        <v>0.1323423025982311</v>
      </c>
      <c r="F27" s="11">
        <f t="shared" si="5"/>
        <v>0.12734230259823109</v>
      </c>
      <c r="G27" s="11">
        <f t="shared" si="5"/>
        <v>6.2342302598231113E-2</v>
      </c>
      <c r="H27" s="11">
        <f t="shared" si="5"/>
        <v>-0.27765769740176888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105</v>
      </c>
      <c r="C28" s="11">
        <f t="shared" ref="C28:J28" si="6">IF(ISBLANK(C9),C7,C7+(C9-C7)*(1)/4)</f>
        <v>2.3E-2</v>
      </c>
      <c r="D28" s="11">
        <f t="shared" si="6"/>
        <v>3.3585575649557775E-2</v>
      </c>
      <c r="E28" s="11">
        <f t="shared" si="6"/>
        <v>0.1223423025982311</v>
      </c>
      <c r="F28" s="11">
        <f t="shared" si="6"/>
        <v>0.1185923025982311</v>
      </c>
      <c r="G28" s="11">
        <f t="shared" si="6"/>
        <v>6.2342302598231113E-2</v>
      </c>
      <c r="H28" s="11">
        <f t="shared" si="6"/>
        <v>-0.18265769740176888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106</v>
      </c>
      <c r="C29" s="11">
        <f t="shared" ref="C29:J29" si="7">IF(ISBLANK(C9),C7,C7+(C9-C7)*(2)/4)</f>
        <v>4.1999999999999996E-2</v>
      </c>
      <c r="D29" s="11">
        <f t="shared" si="7"/>
        <v>4.8171151299115547E-2</v>
      </c>
      <c r="E29" s="11">
        <f t="shared" si="7"/>
        <v>0.11234230259823111</v>
      </c>
      <c r="F29" s="11">
        <f t="shared" si="7"/>
        <v>0.10984230259823111</v>
      </c>
      <c r="G29" s="11">
        <f t="shared" si="7"/>
        <v>6.2342302598231113E-2</v>
      </c>
      <c r="H29" s="11">
        <f t="shared" si="7"/>
        <v>-8.7657697401768875E-2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107</v>
      </c>
      <c r="C30" s="11">
        <f t="shared" ref="C30:J30" si="8">IF(ISBLANK(C9),C7,C7+(C9-C7)*(3)/4)</f>
        <v>6.0999999999999999E-2</v>
      </c>
      <c r="D30" s="11">
        <f t="shared" si="8"/>
        <v>6.2756726948673333E-2</v>
      </c>
      <c r="E30" s="11">
        <f t="shared" si="8"/>
        <v>0.10234230259823111</v>
      </c>
      <c r="F30" s="11">
        <f t="shared" si="8"/>
        <v>0.10109230259823111</v>
      </c>
      <c r="G30" s="11">
        <f t="shared" si="8"/>
        <v>6.2342302598231113E-2</v>
      </c>
      <c r="H30" s="11">
        <f t="shared" si="8"/>
        <v>7.3423025982311541E-3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108</v>
      </c>
      <c r="C31" s="11">
        <f t="shared" ref="C31:J31" si="9">IF(ISBLANK(C9),C7,C7+(C9-C7)*(4)/4)</f>
        <v>0.08</v>
      </c>
      <c r="D31" s="11">
        <f t="shared" si="9"/>
        <v>7.7342302598231105E-2</v>
      </c>
      <c r="E31" s="11">
        <f t="shared" si="9"/>
        <v>9.2342302598231119E-2</v>
      </c>
      <c r="F31" s="11">
        <f t="shared" si="9"/>
        <v>9.2342302598231119E-2</v>
      </c>
      <c r="G31" s="11">
        <f t="shared" si="9"/>
        <v>6.2342302598231113E-2</v>
      </c>
      <c r="H31" s="11">
        <f t="shared" si="9"/>
        <v>0.10234230259823113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109</v>
      </c>
      <c r="C33" s="6">
        <f t="shared" ref="C33:J37" si="10">C21*C27</f>
        <v>260.91736000000003</v>
      </c>
      <c r="D33" s="6">
        <f t="shared" si="10"/>
        <v>1145.3325230672867</v>
      </c>
      <c r="E33" s="6">
        <f t="shared" si="10"/>
        <v>1353.5326003632019</v>
      </c>
      <c r="F33" s="6">
        <f t="shared" si="10"/>
        <v>2152.0896211323452</v>
      </c>
      <c r="G33" s="6">
        <f t="shared" si="10"/>
        <v>122.67476746014559</v>
      </c>
      <c r="H33" s="6">
        <f t="shared" si="10"/>
        <v>-194.20276385330055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110</v>
      </c>
      <c r="C34" s="6">
        <f t="shared" si="10"/>
        <v>1605.2940574000002</v>
      </c>
      <c r="D34" s="6">
        <f t="shared" si="10"/>
        <v>2112.4374636293023</v>
      </c>
      <c r="E34" s="6">
        <f t="shared" si="10"/>
        <v>1318.0813545812091</v>
      </c>
      <c r="F34" s="6">
        <f t="shared" si="10"/>
        <v>2091.2079840046431</v>
      </c>
      <c r="G34" s="6">
        <f t="shared" si="10"/>
        <v>129.22626022400874</v>
      </c>
      <c r="H34" s="6">
        <f t="shared" si="10"/>
        <v>-123.08148719181199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111</v>
      </c>
      <c r="C35" s="6">
        <f t="shared" si="10"/>
        <v>3136.6049973719996</v>
      </c>
      <c r="D35" s="6">
        <f t="shared" si="10"/>
        <v>3161.3396845293123</v>
      </c>
      <c r="E35" s="6">
        <f t="shared" si="10"/>
        <v>1274.9830767791389</v>
      </c>
      <c r="F35" s="6">
        <f t="shared" si="10"/>
        <v>2020.9865702262814</v>
      </c>
      <c r="G35" s="6">
        <f t="shared" si="10"/>
        <v>136.1276379587066</v>
      </c>
      <c r="H35" s="6">
        <f t="shared" si="10"/>
        <v>-56.905452737605415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112</v>
      </c>
      <c r="C36" s="6">
        <f t="shared" si="10"/>
        <v>4874.4335280588193</v>
      </c>
      <c r="D36" s="6">
        <f t="shared" si="10"/>
        <v>4297.3180181311736</v>
      </c>
      <c r="E36" s="6">
        <f t="shared" si="10"/>
        <v>1223.5220933624103</v>
      </c>
      <c r="F36" s="6">
        <f t="shared" si="10"/>
        <v>1940.729289316045</v>
      </c>
      <c r="G36" s="6">
        <f t="shared" si="10"/>
        <v>143.3975864046084</v>
      </c>
      <c r="H36" s="6">
        <f t="shared" si="10"/>
        <v>4.5920348100556545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113</v>
      </c>
      <c r="C37" s="6">
        <f t="shared" si="10"/>
        <v>6840.1886885546728</v>
      </c>
      <c r="D37" s="6">
        <f t="shared" si="10"/>
        <v>5525.9554479678081</v>
      </c>
      <c r="E37" s="6">
        <f t="shared" si="10"/>
        <v>1162.928099459645</v>
      </c>
      <c r="F37" s="6">
        <f t="shared" si="10"/>
        <v>1849.6972190396161</v>
      </c>
      <c r="G37" s="6">
        <f t="shared" si="10"/>
        <v>151.05578922117735</v>
      </c>
      <c r="H37" s="6">
        <f t="shared" si="10"/>
        <v>61.664774027081272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114</v>
      </c>
      <c r="C39" s="6">
        <f>C33*(1-Inputs!B22)</f>
        <v>195.68802000000002</v>
      </c>
      <c r="D39" s="6">
        <f>D33*(1-Inputs!B22)</f>
        <v>858.99939230046505</v>
      </c>
      <c r="E39" s="6">
        <f>E33*(1-Inputs!B22)</f>
        <v>1015.1494502724015</v>
      </c>
      <c r="F39" s="6">
        <f>F33*(1-Inputs!B22)</f>
        <v>1614.0672158492589</v>
      </c>
      <c r="G39" s="6">
        <f>G33*(1-Inputs!B22)</f>
        <v>92.006075595109195</v>
      </c>
      <c r="H39" s="6">
        <f>H33*(1-Inputs!B22)</f>
        <v>-145.65207288997541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115</v>
      </c>
      <c r="C40" s="6">
        <f>C34*(1-Inputs!B22)</f>
        <v>1203.9705430500001</v>
      </c>
      <c r="D40" s="6">
        <f>D34*(1-Inputs!B22)</f>
        <v>1584.3280977219767</v>
      </c>
      <c r="E40" s="6">
        <f>E34*(1-Inputs!B22)</f>
        <v>988.56101593590688</v>
      </c>
      <c r="F40" s="6">
        <f>F34*(1-Inputs!B22)</f>
        <v>1568.4059880034824</v>
      </c>
      <c r="G40" s="6">
        <f>G34*(1-Inputs!B22)</f>
        <v>96.919695168006555</v>
      </c>
      <c r="H40" s="6">
        <f>H34*(1-Inputs!B22)</f>
        <v>-92.311115393858984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116</v>
      </c>
      <c r="C41" s="6">
        <f>C35*(1-Inputs!B22)</f>
        <v>2352.4537480289996</v>
      </c>
      <c r="D41" s="6">
        <f>D35*(1-Inputs!B22)</f>
        <v>2371.0047633969843</v>
      </c>
      <c r="E41" s="6">
        <f>E35*(1-Inputs!B22)</f>
        <v>956.23730758435408</v>
      </c>
      <c r="F41" s="6">
        <f>F35*(1-Inputs!B22)</f>
        <v>1515.7399276697111</v>
      </c>
      <c r="G41" s="6">
        <f>G35*(1-Inputs!B22)</f>
        <v>102.09572846902995</v>
      </c>
      <c r="H41" s="6">
        <f>H35*(1-Inputs!B22)</f>
        <v>-42.679089553204065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117</v>
      </c>
      <c r="C42" s="6">
        <f>C36*(1-Inputs!B22)</f>
        <v>3655.8251460441143</v>
      </c>
      <c r="D42" s="6">
        <f>D36*(1-Inputs!B22)</f>
        <v>3222.9885135983805</v>
      </c>
      <c r="E42" s="6">
        <f>E36*(1-Inputs!B22)</f>
        <v>917.64157002180764</v>
      </c>
      <c r="F42" s="6">
        <f>F36*(1-Inputs!B22)</f>
        <v>1455.5469669870338</v>
      </c>
      <c r="G42" s="6">
        <f>G36*(1-Inputs!B22)</f>
        <v>107.5481898034563</v>
      </c>
      <c r="H42" s="6">
        <f>H36*(1-Inputs!B22)</f>
        <v>3.4440261075417409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118</v>
      </c>
      <c r="C43" s="6">
        <f>C37*(1-Inputs!B22)</f>
        <v>5130.1415164160044</v>
      </c>
      <c r="D43" s="6">
        <f>D37*(1-Inputs!B22)</f>
        <v>4144.4665859758561</v>
      </c>
      <c r="E43" s="6">
        <f>E37*(1-Inputs!B22)</f>
        <v>872.19607459473377</v>
      </c>
      <c r="F43" s="6">
        <f>F37*(1-Inputs!B22)</f>
        <v>1387.272914279712</v>
      </c>
      <c r="G43" s="6">
        <f>G37*(1-Inputs!B22)</f>
        <v>113.29184191588301</v>
      </c>
      <c r="H43" s="6">
        <f>H37*(1-Inputs!B22)</f>
        <v>46.248580520310952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119</v>
      </c>
      <c r="C45" s="6">
        <f t="shared" ref="C45:J45" si="11">C21*IF(ISBLANK(C26),C12,C12+(C26-C12)*(0)/4)</f>
        <v>2283.0269000000003</v>
      </c>
      <c r="D45" s="6">
        <f t="shared" si="11"/>
        <v>2109.8230688081599</v>
      </c>
      <c r="E45" s="6">
        <f t="shared" si="11"/>
        <v>204.55025699111471</v>
      </c>
      <c r="F45" s="6">
        <f t="shared" si="11"/>
        <v>253.50055447665193</v>
      </c>
      <c r="G45" s="6">
        <f t="shared" si="11"/>
        <v>19.677612527520974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120</v>
      </c>
      <c r="C46" s="6">
        <f t="shared" ref="C46:J46" si="12">C22*IF(ISBLANK(C26),C12,C12+(C26-C12)*(1)/4)</f>
        <v>2442.8387830000006</v>
      </c>
      <c r="D46" s="6">
        <f t="shared" si="12"/>
        <v>2201.4007441316285</v>
      </c>
      <c r="E46" s="6">
        <f t="shared" si="12"/>
        <v>215.47434151370413</v>
      </c>
      <c r="F46" s="6">
        <f t="shared" si="12"/>
        <v>264.50384276911348</v>
      </c>
      <c r="G46" s="6">
        <f t="shared" si="12"/>
        <v>20.728502932722183</v>
      </c>
      <c r="H46" s="6">
        <f t="shared" si="12"/>
        <v>3.3691842430567083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121</v>
      </c>
      <c r="C47" s="6">
        <f t="shared" ref="C47:J47" si="13">C23*IF(ISBLANK(C26),C12,C12+(C26-C12)*(2)/4)</f>
        <v>2613.8374978100005</v>
      </c>
      <c r="D47" s="6">
        <f t="shared" si="13"/>
        <v>2296.953383394793</v>
      </c>
      <c r="E47" s="6">
        <f t="shared" si="13"/>
        <v>226.98183093840453</v>
      </c>
      <c r="F47" s="6">
        <f t="shared" si="13"/>
        <v>275.98473298831232</v>
      </c>
      <c r="G47" s="6">
        <f t="shared" si="13"/>
        <v>21.83551654098979</v>
      </c>
      <c r="H47" s="6">
        <f t="shared" si="13"/>
        <v>6.4917804624488236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122</v>
      </c>
      <c r="C48" s="6">
        <f t="shared" ref="C48:J48" si="14">C24*IF(ISBLANK(C26),C12,C12+(C26-C12)*(3)/4)</f>
        <v>2796.8061226567002</v>
      </c>
      <c r="D48" s="6">
        <f t="shared" si="14"/>
        <v>2396.6535214241389</v>
      </c>
      <c r="E48" s="6">
        <f t="shared" si="14"/>
        <v>239.10388222661655</v>
      </c>
      <c r="F48" s="6">
        <f t="shared" si="14"/>
        <v>287.96395562811176</v>
      </c>
      <c r="G48" s="6">
        <f t="shared" si="14"/>
        <v>23.001650633397869</v>
      </c>
      <c r="H48" s="6">
        <f t="shared" si="14"/>
        <v>9.3813243501335588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123</v>
      </c>
      <c r="C49" s="6">
        <f t="shared" ref="C49:J49" si="15">C25*IF(ISBLANK(C26),C12,C12+(C26-C12)*(4)/4)</f>
        <v>2992.5825512426695</v>
      </c>
      <c r="D49" s="6">
        <f t="shared" si="15"/>
        <v>2500.6811819861273</v>
      </c>
      <c r="E49" s="6">
        <f t="shared" si="15"/>
        <v>251.87331628915254</v>
      </c>
      <c r="F49" s="6">
        <f t="shared" si="15"/>
        <v>300.46314099737128</v>
      </c>
      <c r="G49" s="6">
        <f t="shared" si="15"/>
        <v>24.230062561959876</v>
      </c>
      <c r="H49" s="6">
        <f t="shared" si="15"/>
        <v>12.050691153424777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124</v>
      </c>
      <c r="C51" s="6">
        <f t="shared" ref="C51:J55" si="16">C39-C45</f>
        <v>-2087.3388800000002</v>
      </c>
      <c r="D51" s="6">
        <f t="shared" si="16"/>
        <v>-1250.8236765076949</v>
      </c>
      <c r="E51" s="6">
        <f t="shared" si="16"/>
        <v>810.59919328128683</v>
      </c>
      <c r="F51" s="6">
        <f t="shared" si="16"/>
        <v>1360.5666613726071</v>
      </c>
      <c r="G51" s="6">
        <f t="shared" si="16"/>
        <v>72.328463067588217</v>
      </c>
      <c r="H51" s="6">
        <f t="shared" si="16"/>
        <v>-145.65207288997541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125</v>
      </c>
      <c r="C52" s="6">
        <f t="shared" si="16"/>
        <v>-1238.8682399500005</v>
      </c>
      <c r="D52" s="6">
        <f t="shared" si="16"/>
        <v>-617.07264640965172</v>
      </c>
      <c r="E52" s="6">
        <f t="shared" si="16"/>
        <v>773.0866744222028</v>
      </c>
      <c r="F52" s="6">
        <f t="shared" si="16"/>
        <v>1303.9021452343691</v>
      </c>
      <c r="G52" s="6">
        <f t="shared" si="16"/>
        <v>76.191192235284376</v>
      </c>
      <c r="H52" s="6">
        <f t="shared" si="16"/>
        <v>-95.680299636915692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126</v>
      </c>
      <c r="C53" s="6">
        <f t="shared" si="16"/>
        <v>-261.38374978100092</v>
      </c>
      <c r="D53" s="6">
        <f t="shared" si="16"/>
        <v>74.051380002191308</v>
      </c>
      <c r="E53" s="6">
        <f t="shared" si="16"/>
        <v>729.25547664594956</v>
      </c>
      <c r="F53" s="6">
        <f t="shared" si="16"/>
        <v>1239.7551946813987</v>
      </c>
      <c r="G53" s="6">
        <f t="shared" si="16"/>
        <v>80.260211928040164</v>
      </c>
      <c r="H53" s="6">
        <f t="shared" si="16"/>
        <v>-49.170870015652888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127</v>
      </c>
      <c r="C54" s="6">
        <f t="shared" si="16"/>
        <v>859.01902338741411</v>
      </c>
      <c r="D54" s="6">
        <f t="shared" si="16"/>
        <v>826.33499217424151</v>
      </c>
      <c r="E54" s="6">
        <f t="shared" si="16"/>
        <v>678.53768779519112</v>
      </c>
      <c r="F54" s="6">
        <f t="shared" si="16"/>
        <v>1167.583011358922</v>
      </c>
      <c r="G54" s="6">
        <f t="shared" si="16"/>
        <v>84.546539170058423</v>
      </c>
      <c r="H54" s="6">
        <f t="shared" si="16"/>
        <v>-5.9372982425918179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128</v>
      </c>
      <c r="C55" s="6">
        <f t="shared" si="16"/>
        <v>2137.5589651733349</v>
      </c>
      <c r="D55" s="6">
        <f t="shared" si="16"/>
        <v>1643.7854039897288</v>
      </c>
      <c r="E55" s="6">
        <f t="shared" si="16"/>
        <v>620.32275830558126</v>
      </c>
      <c r="F55" s="6">
        <f t="shared" si="16"/>
        <v>1086.8097732823408</v>
      </c>
      <c r="G55" s="6">
        <f t="shared" si="16"/>
        <v>89.061779353923129</v>
      </c>
      <c r="H55" s="6">
        <f t="shared" si="16"/>
        <v>34.197889366886173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129</v>
      </c>
      <c r="C57" s="6">
        <f t="shared" ref="C57:J57" si="17">C51/((1+C16))</f>
        <v>-1962.362122527451</v>
      </c>
      <c r="D57" s="6">
        <f t="shared" si="17"/>
        <v>-1175.9322016457766</v>
      </c>
      <c r="E57" s="6">
        <f t="shared" si="17"/>
        <v>760.91550768700677</v>
      </c>
      <c r="F57" s="6">
        <f t="shared" si="17"/>
        <v>1274.2893809246964</v>
      </c>
      <c r="G57" s="6">
        <f t="shared" si="17"/>
        <v>67.997888442752881</v>
      </c>
      <c r="H57" s="6">
        <f t="shared" si="17"/>
        <v>-137.05352531851068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130</v>
      </c>
      <c r="C58" s="6">
        <f t="shared" ref="C58:J58" si="18">C52/((1+C16)*(1+C16+(C104-C16)*1/5))</f>
        <v>-1092.4482514659508</v>
      </c>
      <c r="D58" s="6">
        <f t="shared" si="18"/>
        <v>-544.14175120422624</v>
      </c>
      <c r="E58" s="6">
        <f t="shared" si="18"/>
        <v>679.66297184494124</v>
      </c>
      <c r="F58" s="6">
        <f t="shared" si="18"/>
        <v>1141.1654741676302</v>
      </c>
      <c r="G58" s="6">
        <f t="shared" si="18"/>
        <v>67.186268927115137</v>
      </c>
      <c r="H58" s="6">
        <f t="shared" si="18"/>
        <v>-84.507406863515342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131</v>
      </c>
      <c r="C59" s="6">
        <f t="shared" ref="C59:J59" si="19">C53/((1+C16)*(1+C16+(C104-C16)*1/5)*(1+C16+(C104-C16)*2/5))</f>
        <v>-215.69970922472203</v>
      </c>
      <c r="D59" s="6">
        <f t="shared" si="19"/>
        <v>61.108852970182134</v>
      </c>
      <c r="E59" s="6">
        <f t="shared" si="19"/>
        <v>599.08360992509051</v>
      </c>
      <c r="F59" s="6">
        <f t="shared" si="19"/>
        <v>1011.5896000620638</v>
      </c>
      <c r="G59" s="6">
        <f t="shared" si="19"/>
        <v>66.232519771017479</v>
      </c>
      <c r="H59" s="6">
        <f t="shared" si="19"/>
        <v>-40.663679030949815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132</v>
      </c>
      <c r="C60" s="6">
        <f t="shared" ref="C60:J60" si="20">C54/((1+C16)*(1+C16+(C104-C16)*1/5)*(1+C16+(C104-C16)*2/5)*(1+C16+(C104-C16)*3/5))</f>
        <v>661.8764155383725</v>
      </c>
      <c r="D60" s="6">
        <f t="shared" si="20"/>
        <v>636.69328357534187</v>
      </c>
      <c r="E60" s="6">
        <f t="shared" si="20"/>
        <v>519.67695128147591</v>
      </c>
      <c r="F60" s="6">
        <f t="shared" si="20"/>
        <v>886.20183804682131</v>
      </c>
      <c r="G60" s="6">
        <f t="shared" si="20"/>
        <v>65.143330669657871</v>
      </c>
      <c r="H60" s="6">
        <f t="shared" si="20"/>
        <v>-4.586111703947128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133</v>
      </c>
      <c r="C61" s="6">
        <f t="shared" ref="C61:J61" si="21">C55/((1+C16)*(1+C16+(C104-C16)*1/5)*(1+C16+(C104-C16)*2/5)*(1+C16+(C104-C16)*3/5)*(1+C16+(C104-C16)*4/5))</f>
        <v>1534.2833297400257</v>
      </c>
      <c r="D61" s="6">
        <f t="shared" si="21"/>
        <v>1179.8657179063609</v>
      </c>
      <c r="E61" s="6">
        <f t="shared" si="21"/>
        <v>441.91690780703169</v>
      </c>
      <c r="F61" s="6">
        <f t="shared" si="21"/>
        <v>765.57683387787233</v>
      </c>
      <c r="G61" s="6">
        <f t="shared" si="21"/>
        <v>63.926191326669681</v>
      </c>
      <c r="H61" s="6">
        <f t="shared" si="21"/>
        <v>24.611900010481165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134</v>
      </c>
    </row>
    <row r="63" spans="1:10" x14ac:dyDescent="0.25">
      <c r="A63" s="4" t="s">
        <v>135</v>
      </c>
      <c r="C63" s="6">
        <f t="shared" ref="C63:J63" si="22">C25*(1+(C6+(C13-C6)*1/5))</f>
        <v>90794.415264710697</v>
      </c>
      <c r="D63" s="6">
        <f t="shared" si="22"/>
        <v>74278.661783712843</v>
      </c>
      <c r="E63" s="6">
        <f t="shared" si="22"/>
        <v>13218.538291479774</v>
      </c>
      <c r="F63" s="6">
        <f t="shared" si="22"/>
        <v>20864.521013566475</v>
      </c>
      <c r="G63" s="6">
        <f t="shared" si="22"/>
        <v>2540.8079679413745</v>
      </c>
      <c r="H63" s="6">
        <f t="shared" si="22"/>
        <v>586.63848937469049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136</v>
      </c>
      <c r="C64" s="6">
        <f t="shared" ref="C64:J64" si="23">C63*(1+(C6+(C13-C6)*2/5))</f>
        <v>95678.009362481534</v>
      </c>
      <c r="D64" s="6">
        <f t="shared" si="23"/>
        <v>76940.11177888127</v>
      </c>
      <c r="E64" s="6">
        <f t="shared" si="23"/>
        <v>13824.352006235447</v>
      </c>
      <c r="F64" s="6">
        <f t="shared" si="23"/>
        <v>21695.567678476462</v>
      </c>
      <c r="G64" s="6">
        <f t="shared" si="23"/>
        <v>2652.1731390554282</v>
      </c>
      <c r="H64" s="6">
        <f t="shared" si="23"/>
        <v>577.15290469491515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137</v>
      </c>
      <c r="C65" s="6">
        <f t="shared" ref="C65:J65" si="24">C64*(1+(C6+(C13-C6)*3/5))</f>
        <v>100048.68380952899</v>
      </c>
      <c r="D65" s="6">
        <f t="shared" si="24"/>
        <v>79405.521394924392</v>
      </c>
      <c r="E65" s="6">
        <f t="shared" si="24"/>
        <v>14405.572402516651</v>
      </c>
      <c r="F65" s="6">
        <f t="shared" si="24"/>
        <v>22520.937126551409</v>
      </c>
      <c r="G65" s="6">
        <f t="shared" si="24"/>
        <v>2755.7225420997902</v>
      </c>
      <c r="H65" s="6">
        <f t="shared" si="24"/>
        <v>573.71493697235746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138</v>
      </c>
      <c r="C66" s="6">
        <f t="shared" ref="C66:J66" si="25">C65*(1+(C6+(C13-C6)*4/5))</f>
        <v>103807.98993396934</v>
      </c>
      <c r="D66" s="6">
        <f t="shared" si="25"/>
        <v>81649.191477965927</v>
      </c>
      <c r="E66" s="6">
        <f t="shared" si="25"/>
        <v>14956.669743558155</v>
      </c>
      <c r="F66" s="6">
        <f t="shared" si="25"/>
        <v>23337.452726129555</v>
      </c>
      <c r="G66" s="6">
        <f t="shared" si="25"/>
        <v>2850.1221456140452</v>
      </c>
      <c r="H66" s="6">
        <f t="shared" si="25"/>
        <v>576.15657866196193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139</v>
      </c>
      <c r="C67" s="6">
        <f t="shared" ref="C67:J67" si="26">C66*(1+(C6+(C13-C6)*5/5))</f>
        <v>106867.05158696235</v>
      </c>
      <c r="D67" s="6">
        <f t="shared" si="26"/>
        <v>83647.021496105561</v>
      </c>
      <c r="E67" s="6">
        <f t="shared" si="26"/>
        <v>15472.203124119376</v>
      </c>
      <c r="F67" s="6">
        <f t="shared" si="26"/>
        <v>24141.858794049262</v>
      </c>
      <c r="G67" s="6">
        <f t="shared" si="26"/>
        <v>2934.1108575382423</v>
      </c>
      <c r="H67" s="6">
        <f t="shared" si="26"/>
        <v>584.4926773734669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140</v>
      </c>
      <c r="C69" s="11">
        <f t="shared" ref="C69:J69" si="27">IF(ISBLANK(C9),C7,C9)</f>
        <v>0.08</v>
      </c>
      <c r="D69" s="11">
        <f t="shared" si="27"/>
        <v>7.7342302598231105E-2</v>
      </c>
      <c r="E69" s="11">
        <f t="shared" si="27"/>
        <v>9.2342302598231119E-2</v>
      </c>
      <c r="F69" s="11">
        <f t="shared" si="27"/>
        <v>9.2342302598231119E-2</v>
      </c>
      <c r="G69" s="11">
        <f t="shared" si="27"/>
        <v>6.2342302598231113E-2</v>
      </c>
      <c r="H69" s="11">
        <f t="shared" si="27"/>
        <v>0.1023423025982311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141</v>
      </c>
      <c r="C70" s="11">
        <f t="shared" ref="C70:J70" si="28">IF(ISBLANK(C9),C7,C9)</f>
        <v>0.08</v>
      </c>
      <c r="D70" s="11">
        <f t="shared" si="28"/>
        <v>7.7342302598231105E-2</v>
      </c>
      <c r="E70" s="11">
        <f t="shared" si="28"/>
        <v>9.2342302598231119E-2</v>
      </c>
      <c r="F70" s="11">
        <f t="shared" si="28"/>
        <v>9.2342302598231119E-2</v>
      </c>
      <c r="G70" s="11">
        <f t="shared" si="28"/>
        <v>6.2342302598231113E-2</v>
      </c>
      <c r="H70" s="11">
        <f t="shared" si="28"/>
        <v>0.1023423025982311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142</v>
      </c>
      <c r="C71" s="11">
        <f t="shared" ref="C71:J71" si="29">IF(ISBLANK(C9),C7,C9)</f>
        <v>0.08</v>
      </c>
      <c r="D71" s="11">
        <f t="shared" si="29"/>
        <v>7.7342302598231105E-2</v>
      </c>
      <c r="E71" s="11">
        <f t="shared" si="29"/>
        <v>9.2342302598231119E-2</v>
      </c>
      <c r="F71" s="11">
        <f t="shared" si="29"/>
        <v>9.2342302598231119E-2</v>
      </c>
      <c r="G71" s="11">
        <f t="shared" si="29"/>
        <v>6.2342302598231113E-2</v>
      </c>
      <c r="H71" s="11">
        <f t="shared" si="29"/>
        <v>0.1023423025982311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143</v>
      </c>
      <c r="C72" s="11">
        <f t="shared" ref="C72:J72" si="30">IF(ISBLANK(C9),C7,C9)</f>
        <v>0.08</v>
      </c>
      <c r="D72" s="11">
        <f t="shared" si="30"/>
        <v>7.7342302598231105E-2</v>
      </c>
      <c r="E72" s="11">
        <f t="shared" si="30"/>
        <v>9.2342302598231119E-2</v>
      </c>
      <c r="F72" s="11">
        <f t="shared" si="30"/>
        <v>9.2342302598231119E-2</v>
      </c>
      <c r="G72" s="11">
        <f t="shared" si="30"/>
        <v>6.2342302598231113E-2</v>
      </c>
      <c r="H72" s="11">
        <f t="shared" si="30"/>
        <v>0.1023423025982311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144</v>
      </c>
      <c r="C73" s="11">
        <f t="shared" ref="C73:J73" si="31">IF(ISBLANK(C9),C7,C9)</f>
        <v>0.08</v>
      </c>
      <c r="D73" s="11">
        <f t="shared" si="31"/>
        <v>7.7342302598231105E-2</v>
      </c>
      <c r="E73" s="11">
        <f t="shared" si="31"/>
        <v>9.2342302598231119E-2</v>
      </c>
      <c r="F73" s="11">
        <f t="shared" si="31"/>
        <v>9.2342302598231119E-2</v>
      </c>
      <c r="G73" s="11">
        <f t="shared" si="31"/>
        <v>6.2342302598231113E-2</v>
      </c>
      <c r="H73" s="11">
        <f t="shared" si="31"/>
        <v>0.1023423025982311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145</v>
      </c>
      <c r="C75" s="6">
        <f t="shared" ref="C75:J79" si="32">C63*C69</f>
        <v>7263.5532211768559</v>
      </c>
      <c r="D75" s="6">
        <f t="shared" si="32"/>
        <v>5744.8827362675829</v>
      </c>
      <c r="E75" s="6">
        <f t="shared" si="32"/>
        <v>1220.6302628181302</v>
      </c>
      <c r="F75" s="6">
        <f t="shared" si="32"/>
        <v>1926.6779130019072</v>
      </c>
      <c r="G75" s="6">
        <f t="shared" si="32"/>
        <v>158.39981918139787</v>
      </c>
      <c r="H75" s="6">
        <f t="shared" si="32"/>
        <v>60.037933795353752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146</v>
      </c>
      <c r="C76" s="6">
        <f t="shared" si="32"/>
        <v>7654.2407489985226</v>
      </c>
      <c r="D76" s="6">
        <f t="shared" si="32"/>
        <v>5950.7254071439602</v>
      </c>
      <c r="E76" s="6">
        <f t="shared" si="32"/>
        <v>1276.572496184257</v>
      </c>
      <c r="F76" s="6">
        <f t="shared" si="32"/>
        <v>2003.4186756062761</v>
      </c>
      <c r="G76" s="6">
        <f t="shared" si="32"/>
        <v>165.342580377894</v>
      </c>
      <c r="H76" s="6">
        <f t="shared" si="32"/>
        <v>59.067157217735044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147</v>
      </c>
      <c r="C77" s="6">
        <f t="shared" si="32"/>
        <v>8003.8947047623187</v>
      </c>
      <c r="D77" s="6">
        <f t="shared" si="32"/>
        <v>6141.4058636965565</v>
      </c>
      <c r="E77" s="6">
        <f t="shared" si="32"/>
        <v>1330.2437258939199</v>
      </c>
      <c r="F77" s="6">
        <f t="shared" si="32"/>
        <v>2079.6351909357477</v>
      </c>
      <c r="G77" s="6">
        <f t="shared" si="32"/>
        <v>171.79808859635179</v>
      </c>
      <c r="H77" s="6">
        <f t="shared" si="32"/>
        <v>58.715307684750094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148</v>
      </c>
      <c r="C78" s="6">
        <f t="shared" si="32"/>
        <v>8304.6391947175471</v>
      </c>
      <c r="D78" s="6">
        <f t="shared" si="32"/>
        <v>6314.9364741897534</v>
      </c>
      <c r="E78" s="6">
        <f t="shared" si="32"/>
        <v>1381.133323321455</v>
      </c>
      <c r="F78" s="6">
        <f t="shared" si="32"/>
        <v>2155.0341215081689</v>
      </c>
      <c r="G78" s="6">
        <f t="shared" si="32"/>
        <v>177.68317724379051</v>
      </c>
      <c r="H78" s="6">
        <f t="shared" si="32"/>
        <v>58.965190917384049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149</v>
      </c>
      <c r="C79" s="6">
        <f t="shared" si="32"/>
        <v>8549.3641269569889</v>
      </c>
      <c r="D79" s="6">
        <f t="shared" si="32"/>
        <v>6469.4532479925383</v>
      </c>
      <c r="E79" s="6">
        <f t="shared" si="32"/>
        <v>1428.7388627487283</v>
      </c>
      <c r="F79" s="6">
        <f t="shared" si="32"/>
        <v>2229.3148300438638</v>
      </c>
      <c r="G79" s="6">
        <f t="shared" si="32"/>
        <v>182.91922693740449</v>
      </c>
      <c r="H79" s="6">
        <f t="shared" si="32"/>
        <v>59.818326454205611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150</v>
      </c>
      <c r="C81" s="6">
        <f>C75*(1-Inputs!B22)</f>
        <v>5447.6649158826422</v>
      </c>
      <c r="D81" s="6">
        <f>D75*(1-Inputs!B22)</f>
        <v>4308.662052200687</v>
      </c>
      <c r="E81" s="6">
        <f>E75*(1-Inputs!B22)</f>
        <v>915.47269711359763</v>
      </c>
      <c r="F81" s="6">
        <f>F75*(1-Inputs!B22)</f>
        <v>1445.0084347514303</v>
      </c>
      <c r="G81" s="6">
        <f>G75*(1-Inputs!B22)</f>
        <v>118.7998643860484</v>
      </c>
      <c r="H81" s="6">
        <f>H75*(1-Inputs!B22)</f>
        <v>45.028450346515314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151</v>
      </c>
      <c r="C82" s="6">
        <f>C76*(1-Inputs!B22)</f>
        <v>5740.6805617488917</v>
      </c>
      <c r="D82" s="6">
        <f>D76*(1-Inputs!B22)</f>
        <v>4463.0440553579701</v>
      </c>
      <c r="E82" s="6">
        <f>E76*(1-Inputs!B22)</f>
        <v>957.42937213819278</v>
      </c>
      <c r="F82" s="6">
        <f>F76*(1-Inputs!B22)</f>
        <v>1502.564006704707</v>
      </c>
      <c r="G82" s="6">
        <f>G76*(1-Inputs!B22)</f>
        <v>124.00693528342049</v>
      </c>
      <c r="H82" s="6">
        <f>H76*(1-Inputs!B22)</f>
        <v>44.300367913301287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152</v>
      </c>
      <c r="C83" s="6">
        <f>C77*(1-Inputs!B22)</f>
        <v>6002.921028571739</v>
      </c>
      <c r="D83" s="6">
        <f>D77*(1-Inputs!B22)</f>
        <v>4606.0543977724174</v>
      </c>
      <c r="E83" s="6">
        <f>E77*(1-Inputs!B22)</f>
        <v>997.6827944204399</v>
      </c>
      <c r="F83" s="6">
        <f>F77*(1-Inputs!B22)</f>
        <v>1559.7263932018109</v>
      </c>
      <c r="G83" s="6">
        <f>G77*(1-Inputs!B22)</f>
        <v>128.84856644726383</v>
      </c>
      <c r="H83" s="6">
        <f>H77*(1-Inputs!B22)</f>
        <v>44.036480763562572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153</v>
      </c>
      <c r="C84" s="6">
        <f>C78*(1-Inputs!B22)</f>
        <v>6228.4793960381603</v>
      </c>
      <c r="D84" s="6">
        <f>D78*(1-Inputs!B22)</f>
        <v>4736.2023556423155</v>
      </c>
      <c r="E84" s="6">
        <f>E78*(1-Inputs!B22)</f>
        <v>1035.8499924910911</v>
      </c>
      <c r="F84" s="6">
        <f>F78*(1-Inputs!B22)</f>
        <v>1616.2755911311267</v>
      </c>
      <c r="G84" s="6">
        <f>G78*(1-Inputs!B22)</f>
        <v>133.26238293284288</v>
      </c>
      <c r="H84" s="6">
        <f>H78*(1-Inputs!B22)</f>
        <v>44.223893188038033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154</v>
      </c>
      <c r="C85" s="6">
        <f>C79*(1-Inputs!B22)</f>
        <v>6412.0230952177417</v>
      </c>
      <c r="D85" s="6">
        <f>D79*(1-Inputs!B22)</f>
        <v>4852.0899359944033</v>
      </c>
      <c r="E85" s="6">
        <f>E79*(1-Inputs!B22)</f>
        <v>1071.5541470615462</v>
      </c>
      <c r="F85" s="6">
        <f>F79*(1-Inputs!B22)</f>
        <v>1671.9861225328978</v>
      </c>
      <c r="G85" s="6">
        <f>G79*(1-Inputs!B22)</f>
        <v>137.18942020305337</v>
      </c>
      <c r="H85" s="6">
        <f>H79*(1-Inputs!B22)</f>
        <v>44.863744840654206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155</v>
      </c>
      <c r="C87" s="6">
        <f t="shared" ref="C87:J87" si="33">C63*MAX(IF(ISBLANK(C26),C12,C26),0)</f>
        <v>3177.8045342648747</v>
      </c>
      <c r="D87" s="6">
        <f t="shared" si="33"/>
        <v>2599.75316242995</v>
      </c>
      <c r="E87" s="6">
        <f t="shared" si="33"/>
        <v>264.37076582959548</v>
      </c>
      <c r="F87" s="6">
        <f t="shared" si="33"/>
        <v>312.96781520349708</v>
      </c>
      <c r="G87" s="6">
        <f t="shared" si="33"/>
        <v>25.408079679413746</v>
      </c>
      <c r="H87" s="6">
        <f t="shared" si="33"/>
        <v>11.73276978749381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156</v>
      </c>
      <c r="C88" s="6">
        <f t="shared" ref="C88:J88" si="34">C64*MAX(IF(ISBLANK(C26),C12,C26),0)</f>
        <v>3348.7303276868543</v>
      </c>
      <c r="D88" s="6">
        <f t="shared" si="34"/>
        <v>2692.9039122608447</v>
      </c>
      <c r="E88" s="6">
        <f t="shared" si="34"/>
        <v>276.48704012470893</v>
      </c>
      <c r="F88" s="6">
        <f t="shared" si="34"/>
        <v>325.43351517714694</v>
      </c>
      <c r="G88" s="6">
        <f t="shared" si="34"/>
        <v>26.521731390554283</v>
      </c>
      <c r="H88" s="6">
        <f t="shared" si="34"/>
        <v>11.543058093898303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157</v>
      </c>
      <c r="C89" s="6">
        <f t="shared" ref="C89:J89" si="35">C65*MAX(IF(ISBLANK(C26),C12,C26),0)</f>
        <v>3501.7039333335147</v>
      </c>
      <c r="D89" s="6">
        <f t="shared" si="35"/>
        <v>2779.1932488223538</v>
      </c>
      <c r="E89" s="6">
        <f t="shared" si="35"/>
        <v>288.11144805033302</v>
      </c>
      <c r="F89" s="6">
        <f t="shared" si="35"/>
        <v>337.81405689827113</v>
      </c>
      <c r="G89" s="6">
        <f t="shared" si="35"/>
        <v>27.557225420997902</v>
      </c>
      <c r="H89" s="6">
        <f t="shared" si="35"/>
        <v>11.47429873944715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158</v>
      </c>
      <c r="C90" s="6">
        <f t="shared" ref="C90:J90" si="36">C66*MAX(IF(ISBLANK(C26),C12,C26),0)</f>
        <v>3633.2796476889271</v>
      </c>
      <c r="D90" s="6">
        <f t="shared" si="36"/>
        <v>2857.7217017288076</v>
      </c>
      <c r="E90" s="6">
        <f t="shared" si="36"/>
        <v>299.13339487116309</v>
      </c>
      <c r="F90" s="6">
        <f t="shared" si="36"/>
        <v>350.0617908919433</v>
      </c>
      <c r="G90" s="6">
        <f t="shared" si="36"/>
        <v>28.501221456140453</v>
      </c>
      <c r="H90" s="6">
        <f t="shared" si="36"/>
        <v>11.523131573239239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159</v>
      </c>
      <c r="C91" s="6">
        <f t="shared" ref="C91:J91" si="37">C67*MAX(IF(ISBLANK(C26),C12,C26),0)</f>
        <v>3740.3468055436824</v>
      </c>
      <c r="D91" s="6">
        <f t="shared" si="37"/>
        <v>2927.645752363695</v>
      </c>
      <c r="E91" s="6">
        <f t="shared" si="37"/>
        <v>309.44406248238755</v>
      </c>
      <c r="F91" s="6">
        <f t="shared" si="37"/>
        <v>362.12788191073889</v>
      </c>
      <c r="G91" s="6">
        <f t="shared" si="37"/>
        <v>29.341108575382425</v>
      </c>
      <c r="H91" s="6">
        <f t="shared" si="37"/>
        <v>11.689853547469339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160</v>
      </c>
      <c r="C93" s="6">
        <f t="shared" ref="C93:J97" si="38">C81-C87</f>
        <v>2269.8603816177674</v>
      </c>
      <c r="D93" s="6">
        <f t="shared" si="38"/>
        <v>1708.908889770737</v>
      </c>
      <c r="E93" s="6">
        <f t="shared" si="38"/>
        <v>651.10193128400215</v>
      </c>
      <c r="F93" s="6">
        <f t="shared" si="38"/>
        <v>1132.0406195479331</v>
      </c>
      <c r="G93" s="6">
        <f t="shared" si="38"/>
        <v>93.391784706634652</v>
      </c>
      <c r="H93" s="6">
        <f t="shared" si="38"/>
        <v>33.295680559021505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161</v>
      </c>
      <c r="C94" s="6">
        <f t="shared" si="38"/>
        <v>2391.9502340620375</v>
      </c>
      <c r="D94" s="6">
        <f t="shared" si="38"/>
        <v>1770.1401430971255</v>
      </c>
      <c r="E94" s="6">
        <f t="shared" si="38"/>
        <v>680.94233201348379</v>
      </c>
      <c r="F94" s="6">
        <f t="shared" si="38"/>
        <v>1177.13049152756</v>
      </c>
      <c r="G94" s="6">
        <f t="shared" si="38"/>
        <v>97.48520389286621</v>
      </c>
      <c r="H94" s="6">
        <f t="shared" si="38"/>
        <v>32.757309819402984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162</v>
      </c>
      <c r="C95" s="6">
        <f t="shared" si="38"/>
        <v>2501.2170952382244</v>
      </c>
      <c r="D95" s="6">
        <f t="shared" si="38"/>
        <v>1826.8611489500636</v>
      </c>
      <c r="E95" s="6">
        <f t="shared" si="38"/>
        <v>709.57134637010688</v>
      </c>
      <c r="F95" s="6">
        <f t="shared" si="38"/>
        <v>1221.9123363035396</v>
      </c>
      <c r="G95" s="6">
        <f t="shared" si="38"/>
        <v>101.29134102626594</v>
      </c>
      <c r="H95" s="6">
        <f t="shared" si="38"/>
        <v>32.562182024115423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163</v>
      </c>
      <c r="C96" s="6">
        <f t="shared" si="38"/>
        <v>2595.1997483492332</v>
      </c>
      <c r="D96" s="6">
        <f t="shared" si="38"/>
        <v>1878.4806539135079</v>
      </c>
      <c r="E96" s="6">
        <f t="shared" si="38"/>
        <v>736.71659761992805</v>
      </c>
      <c r="F96" s="6">
        <f t="shared" si="38"/>
        <v>1266.2138002391835</v>
      </c>
      <c r="G96" s="6">
        <f t="shared" si="38"/>
        <v>104.76116147670243</v>
      </c>
      <c r="H96" s="6">
        <f t="shared" si="38"/>
        <v>32.700761614798793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164</v>
      </c>
      <c r="C97" s="6">
        <f t="shared" si="38"/>
        <v>2671.6762896740593</v>
      </c>
      <c r="D97" s="6">
        <f t="shared" si="38"/>
        <v>1924.4441836307083</v>
      </c>
      <c r="E97" s="6">
        <f t="shared" si="38"/>
        <v>762.11008457915864</v>
      </c>
      <c r="F97" s="6">
        <f t="shared" si="38"/>
        <v>1309.858240622159</v>
      </c>
      <c r="G97" s="6">
        <f t="shared" si="38"/>
        <v>107.84831162767095</v>
      </c>
      <c r="H97" s="6">
        <f t="shared" si="38"/>
        <v>33.173891293184866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165</v>
      </c>
      <c r="C99" s="6">
        <f t="shared" ref="C99:J99" si="39">C93/(((1+C16)*(1+C16+(C104-C16)*1/5)*(1+C16+(C104-C16)*2/5)*(1+C16+(C104-C16)*3/5)*(1+C16+(C104-C16)*4/5))*(1+C104)^1)</f>
        <v>1514.3016136444355</v>
      </c>
      <c r="D99" s="6">
        <f t="shared" si="39"/>
        <v>1140.0716582870957</v>
      </c>
      <c r="E99" s="6">
        <f t="shared" si="39"/>
        <v>430.47628734972454</v>
      </c>
      <c r="F99" s="6">
        <f t="shared" si="39"/>
        <v>738.42054275716362</v>
      </c>
      <c r="G99" s="6">
        <f t="shared" si="39"/>
        <v>62.304858672230672</v>
      </c>
      <c r="H99" s="6">
        <f t="shared" si="39"/>
        <v>22.2720151336305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166</v>
      </c>
      <c r="C100" s="6">
        <f t="shared" ref="C100:J100" si="40">C94/(((1+C16)*(1+C16+(C104-C16)*1/5)*(1+C16+(C104-C16)*2/5)*(1+C16+(C104-C16)*3/5)*(1+C16+(C104-C16)*4/5))*(1+C104)^2)</f>
        <v>1483.1707698021476</v>
      </c>
      <c r="D100" s="6">
        <f t="shared" si="40"/>
        <v>1097.6064975384243</v>
      </c>
      <c r="E100" s="6">
        <f t="shared" si="40"/>
        <v>417.81875468647792</v>
      </c>
      <c r="F100" s="6">
        <f t="shared" si="40"/>
        <v>711.00537034183219</v>
      </c>
      <c r="G100" s="6">
        <f t="shared" si="40"/>
        <v>60.44741351351697</v>
      </c>
      <c r="H100" s="6">
        <f t="shared" si="40"/>
        <v>20.365994532789099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167</v>
      </c>
      <c r="C101" s="6">
        <f t="shared" ref="C101:J101" si="41">C95/(((1+C16)*(1+C16+(C104-C16)*1/5)*(1+C16+(C104-C16)*2/5)*(1+C16+(C104-C16)*3/5)*(1+C16+(C104-C16)*4/5))*(1+C104)^3)</f>
        <v>1441.5051033879176</v>
      </c>
      <c r="D101" s="6">
        <f t="shared" si="41"/>
        <v>1052.859295742905</v>
      </c>
      <c r="E101" s="6">
        <f t="shared" si="41"/>
        <v>404.06479468801388</v>
      </c>
      <c r="F101" s="6">
        <f t="shared" si="41"/>
        <v>683.43124932783905</v>
      </c>
      <c r="G101" s="6">
        <f t="shared" si="41"/>
        <v>58.376374164539136</v>
      </c>
      <c r="H101" s="6">
        <f t="shared" si="41"/>
        <v>18.816405860031864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168</v>
      </c>
      <c r="C102" s="6">
        <f t="shared" ref="C102:J102" si="42">C96/(((1+C16)*(1+C16+(C104-C16)*1/5)*(1+C16+(C104-C16)*2/5)*(1+C16+(C104-C16)*3/5)*(1+C16+(C104-C16)*4/5))*(1+C104)^4)</f>
        <v>1390.1490399933512</v>
      </c>
      <c r="D102" s="6">
        <f t="shared" si="42"/>
        <v>1006.230090514226</v>
      </c>
      <c r="E102" s="6">
        <f t="shared" si="42"/>
        <v>389.34333463439924</v>
      </c>
      <c r="F102" s="6">
        <f t="shared" si="42"/>
        <v>655.79535685905194</v>
      </c>
      <c r="G102" s="6">
        <f t="shared" si="42"/>
        <v>56.11653906334633</v>
      </c>
      <c r="H102" s="6">
        <f t="shared" si="42"/>
        <v>17.563328233405844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169</v>
      </c>
      <c r="C103" s="6">
        <f t="shared" ref="C103:J103" si="43">C97/(((1+C16)*(1+C16+(C104-C16)*1/5)*(1+C16+(C104-C16)*2/5)*(1+C16+(C104-C16)*3/5)*(1+C16+(C104-C16)*4/5))*(1+C104)^5)</f>
        <v>1330.148679684663</v>
      </c>
      <c r="D103" s="6">
        <f t="shared" si="43"/>
        <v>958.12389393009414</v>
      </c>
      <c r="E103" s="6">
        <f t="shared" si="43"/>
        <v>373.78971297110485</v>
      </c>
      <c r="F103" s="6">
        <f t="shared" si="43"/>
        <v>628.19156891944397</v>
      </c>
      <c r="G103" s="6">
        <f t="shared" si="43"/>
        <v>53.694487566556141</v>
      </c>
      <c r="H103" s="6">
        <f t="shared" si="43"/>
        <v>16.560412296959086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170</v>
      </c>
      <c r="C104" s="11">
        <f>MAX((Inputs!B18+((1+(1-Inputs!B22)*(Inputs!B36/(1-Inputs!B36)))/(1+(1-Inputs!B22)*0.25))*Inputs!B19+IF(ISBLANK(C17),Inputs!B24,C17)+Inputs!B25+Inputs!B39)*(1-Inputs!B36)+Inputs!B38*Inputs!B36,C15)</f>
        <v>7.5905734413157899E-2</v>
      </c>
      <c r="D104" s="11">
        <f>MAX((Inputs!B18+((1+(1-Inputs!B22)*(Inputs!B36/(1-Inputs!B36)))/(1+(1-Inputs!B22)*0.25))*Inputs!B19+IF(ISBLANK(D17),Inputs!B24,D17)+Inputs!B25+Inputs!B39)*(1-Inputs!B36)+Inputs!B38*Inputs!B36,D15)</f>
        <v>7.5905734413157899E-2</v>
      </c>
      <c r="E104" s="11">
        <f>MAX((Inputs!B18+((1+(1-Inputs!B22)*(Inputs!B36/(1-Inputs!B36)))/(1+(1-Inputs!B22)*0.25))*Inputs!B19+IF(ISBLANK(E17),Inputs!B24,E17)+Inputs!B25+Inputs!B39)*(1-Inputs!B36)+Inputs!B38*Inputs!B36,E15)</f>
        <v>7.75133344131579E-2</v>
      </c>
      <c r="F104" s="11">
        <f>MAX((Inputs!B18+((1+(1-Inputs!B22)*(Inputs!B36/(1-Inputs!B36)))/(1+(1-Inputs!B22)*0.25))*Inputs!B19+IF(ISBLANK(F17),Inputs!B24,F17)+Inputs!B25+Inputs!B39)*(1-Inputs!B36)+Inputs!B38*Inputs!B36,F15)</f>
        <v>7.9924734413157894E-2</v>
      </c>
      <c r="G104" s="11">
        <f>MAX((Inputs!B18+((1+(1-Inputs!B22)*(Inputs!B36/(1-Inputs!B36)))/(1+(1-Inputs!B22)*0.25))*Inputs!B19+IF(ISBLANK(G17),Inputs!B24,G17)+Inputs!B25+Inputs!B39)*(1-Inputs!B36)+Inputs!B38*Inputs!B36,G15)</f>
        <v>7.5905734413157899E-2</v>
      </c>
      <c r="H104" s="11">
        <f>MAX((Inputs!B18+((1+(1-Inputs!B22)*(Inputs!B36/(1-Inputs!B36)))/(1+(1-Inputs!B22)*0.25))*Inputs!B19+IF(ISBLANK(H17),Inputs!B24,H17)+Inputs!B25+Inputs!B39)*(1-Inputs!B36)+Inputs!B38*Inputs!B36,H15)</f>
        <v>7.5905734413157899E-2</v>
      </c>
      <c r="I104" s="11">
        <f>MAX((Inputs!B18+((1+(1-Inputs!B22)*(Inputs!B36/(1-Inputs!B36)))/(1+(1-Inputs!B22)*0.25))*Inputs!B19+IF(ISBLANK(I17),Inputs!B24,I17)+Inputs!B25+Inputs!B39)*(1-Inputs!B36)+Inputs!B38*Inputs!B36,I15)</f>
        <v>7.5905734413157899E-2</v>
      </c>
      <c r="J104" s="11">
        <f>MAX((Inputs!B18+((1+(1-Inputs!B22)*(Inputs!B36/(1-Inputs!B36)))/(1+(1-Inputs!B22)*0.25))*Inputs!B19+IF(ISBLANK(J17),Inputs!B24,J17)+Inputs!B25+Inputs!B39)*(1-Inputs!B36)+Inputs!B38*Inputs!B36,J15)</f>
        <v>7.5905734413157899E-2</v>
      </c>
    </row>
    <row r="105" spans="1:11" x14ac:dyDescent="0.25">
      <c r="A105" s="4" t="s">
        <v>171</v>
      </c>
      <c r="C105" s="6">
        <f t="shared" ref="C105:J105" si="44">SUM(C57:C61,C99:C103)</f>
        <v>6084.9248685727889</v>
      </c>
      <c r="D105" s="6">
        <f t="shared" si="44"/>
        <v>5412.4853376146266</v>
      </c>
      <c r="E105" s="6">
        <f t="shared" si="44"/>
        <v>5016.7488328752661</v>
      </c>
      <c r="F105" s="6">
        <f t="shared" si="44"/>
        <v>8495.6672152844149</v>
      </c>
      <c r="G105" s="6">
        <f t="shared" si="44"/>
        <v>621.42587211740226</v>
      </c>
      <c r="H105" s="6">
        <f t="shared" si="44"/>
        <v>-146.62066684962542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172</v>
      </c>
      <c r="C106" s="6">
        <f t="shared" ref="C106:J106" si="45">IF(C5=0,0,C97*(1+C13)/(C104-C13))</f>
        <v>59228.422478992397</v>
      </c>
      <c r="D106" s="6">
        <f t="shared" si="45"/>
        <v>38328.865838452395</v>
      </c>
      <c r="E106" s="6">
        <f t="shared" si="45"/>
        <v>18315.278327715929</v>
      </c>
      <c r="F106" s="6">
        <f t="shared" si="45"/>
        <v>29809.021321230372</v>
      </c>
      <c r="G106" s="6">
        <f t="shared" si="45"/>
        <v>2390.8904643193177</v>
      </c>
      <c r="H106" s="6">
        <f t="shared" si="45"/>
        <v>547.77603719811998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173</v>
      </c>
      <c r="C107" s="6">
        <f t="shared" ref="C107:J107" si="46">C106/(((1+C16)*(1+C16+(C104-C16)*1/5)*(1+C16+(C104-C16)*2/5)*(1+C16+(C104-C16)*3/5)*(1+C16+(C104-C16)*4/5))*(1+C104)^5)</f>
        <v>29488.081420915154</v>
      </c>
      <c r="D107" s="6">
        <f t="shared" si="46"/>
        <v>19082.809727314645</v>
      </c>
      <c r="E107" s="6">
        <f t="shared" si="46"/>
        <v>8983.036398059563</v>
      </c>
      <c r="F107" s="6">
        <f t="shared" si="46"/>
        <v>14296.032418624522</v>
      </c>
      <c r="G107" s="6">
        <f t="shared" si="46"/>
        <v>1190.3537141368936</v>
      </c>
      <c r="H107" s="6">
        <f t="shared" si="46"/>
        <v>273.44989293610126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174</v>
      </c>
      <c r="C109" s="20">
        <f t="shared" ref="C109:J109" si="47">C105+C107</f>
        <v>35573.006289487945</v>
      </c>
      <c r="D109" s="20">
        <f t="shared" si="47"/>
        <v>24495.295064929272</v>
      </c>
      <c r="E109" s="20">
        <f t="shared" si="47"/>
        <v>13999.785230934829</v>
      </c>
      <c r="F109" s="20">
        <f t="shared" si="47"/>
        <v>22791.699633908938</v>
      </c>
      <c r="G109" s="20">
        <f t="shared" si="47"/>
        <v>1811.7795862542957</v>
      </c>
      <c r="H109" s="20">
        <f t="shared" si="47"/>
        <v>126.82922608647584</v>
      </c>
      <c r="I109" s="20">
        <f t="shared" si="47"/>
        <v>0</v>
      </c>
      <c r="J109" s="20">
        <f t="shared" si="47"/>
        <v>0</v>
      </c>
      <c r="K109" s="20">
        <f>SUM(C109:J109)</f>
        <v>98798.395031601744</v>
      </c>
    </row>
    <row r="110" spans="1:11" x14ac:dyDescent="0.25">
      <c r="A110" s="4" t="s">
        <v>175</v>
      </c>
      <c r="K110" s="11">
        <f>IFERROR(SUMPRODUCT(C109:J109,C16:J16)/SUM(C109:J109),0)</f>
        <v>6.4840702061693165E-2</v>
      </c>
    </row>
    <row r="111" spans="1:11" x14ac:dyDescent="0.25">
      <c r="A111" s="4" t="s">
        <v>176</v>
      </c>
      <c r="K111" s="5">
        <v>-6694</v>
      </c>
    </row>
    <row r="112" spans="1:11" x14ac:dyDescent="0.25">
      <c r="A112" s="4" t="s">
        <v>177</v>
      </c>
      <c r="K112" s="5">
        <v>0</v>
      </c>
    </row>
    <row r="113" spans="1:11" x14ac:dyDescent="0.25">
      <c r="A113" s="4" t="s">
        <v>178</v>
      </c>
      <c r="K113" s="5">
        <v>0</v>
      </c>
    </row>
    <row r="114" spans="1:11" x14ac:dyDescent="0.25">
      <c r="A114" s="4" t="s">
        <v>179</v>
      </c>
      <c r="K114" s="5">
        <v>0</v>
      </c>
    </row>
    <row r="115" spans="1:11" x14ac:dyDescent="0.25">
      <c r="A115" s="4" t="s">
        <v>180</v>
      </c>
      <c r="K115" s="5">
        <v>0</v>
      </c>
    </row>
    <row r="116" spans="1:11" x14ac:dyDescent="0.25">
      <c r="A116" s="4" t="s">
        <v>181</v>
      </c>
      <c r="K116" s="5">
        <v>-220</v>
      </c>
    </row>
    <row r="117" spans="1:11" x14ac:dyDescent="0.25">
      <c r="A117" s="4" t="s">
        <v>182</v>
      </c>
      <c r="K117" s="5">
        <v>0</v>
      </c>
    </row>
    <row r="118" spans="1:11" x14ac:dyDescent="0.25">
      <c r="A118" s="4" t="s">
        <v>183</v>
      </c>
      <c r="K118" s="5">
        <v>-4000</v>
      </c>
    </row>
    <row r="119" spans="1:11" x14ac:dyDescent="0.25">
      <c r="A119" s="4" t="s">
        <v>184</v>
      </c>
      <c r="K119" s="20">
        <f>K109+K113+K114+K115+K116+K117+K118-K111-K112</f>
        <v>101272.39503160174</v>
      </c>
    </row>
    <row r="120" spans="1:11" x14ac:dyDescent="0.25">
      <c r="A120" s="4" t="s">
        <v>185</v>
      </c>
      <c r="K120" s="6">
        <f>Inputs!B11</f>
        <v>2886.7</v>
      </c>
    </row>
    <row r="122" spans="1:11" ht="15.75" customHeight="1" x14ac:dyDescent="0.25">
      <c r="A122" s="4" t="s">
        <v>186</v>
      </c>
      <c r="K122" s="21">
        <f>K119/K120</f>
        <v>35.082410722140075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188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/>
      <c r="J4" s="14"/>
    </row>
    <row r="5" spans="1:11" x14ac:dyDescent="0.25">
      <c r="A5" s="4" t="s">
        <v>65</v>
      </c>
      <c r="C5" s="5">
        <v>60962</v>
      </c>
      <c r="D5" s="5">
        <v>57773</v>
      </c>
      <c r="E5" s="5">
        <v>9709</v>
      </c>
      <c r="F5" s="5">
        <v>16197</v>
      </c>
      <c r="G5" s="5">
        <v>1868</v>
      </c>
      <c r="H5" s="5">
        <v>726</v>
      </c>
      <c r="I5" s="5"/>
      <c r="J5" s="5"/>
    </row>
    <row r="6" spans="1:11" x14ac:dyDescent="0.25">
      <c r="A6" s="4" t="s">
        <v>66</v>
      </c>
      <c r="C6" s="7">
        <v>0.02</v>
      </c>
      <c r="D6" s="7">
        <v>1.6594618441061328E-2</v>
      </c>
      <c r="E6" s="7">
        <v>2.659461844106133E-2</v>
      </c>
      <c r="F6" s="7">
        <v>1.6594618441061328E-2</v>
      </c>
      <c r="G6" s="7">
        <v>2.659461844106133E-2</v>
      </c>
      <c r="H6" s="7">
        <v>-6.340538155893867E-2</v>
      </c>
      <c r="I6" s="7"/>
      <c r="J6" s="7"/>
    </row>
    <row r="7" spans="1:11" x14ac:dyDescent="0.25">
      <c r="A7" s="4" t="s">
        <v>67</v>
      </c>
      <c r="C7" s="7">
        <v>-4.1000000000000002E-2</v>
      </c>
      <c r="D7" s="7">
        <v>-1.0999999999999999E-2</v>
      </c>
      <c r="E7" s="7">
        <v>8.7657697401768889E-2</v>
      </c>
      <c r="F7" s="7">
        <v>8.2657697401768884E-2</v>
      </c>
      <c r="G7" s="7">
        <v>1.7657697401768889E-2</v>
      </c>
      <c r="H7" s="7">
        <v>-0.3</v>
      </c>
      <c r="I7" s="7"/>
      <c r="J7" s="7"/>
    </row>
    <row r="8" spans="1:11" x14ac:dyDescent="0.25">
      <c r="A8" s="4" t="s">
        <v>68</v>
      </c>
      <c r="C8" s="15">
        <v>-0.317</v>
      </c>
      <c r="D8" s="15">
        <v>-0.124</v>
      </c>
      <c r="E8" s="15">
        <v>0.11799999999999999</v>
      </c>
      <c r="F8" s="15">
        <v>0.10199999999999999</v>
      </c>
      <c r="G8" s="15">
        <v>4.3999999999999997E-2</v>
      </c>
      <c r="H8" s="15">
        <v>-0.6</v>
      </c>
      <c r="I8" s="15"/>
      <c r="J8" s="15"/>
    </row>
    <row r="9" spans="1:11" x14ac:dyDescent="0.25">
      <c r="A9" s="4" t="s">
        <v>69</v>
      </c>
      <c r="C9" s="7">
        <v>4.265769740176889E-2</v>
      </c>
      <c r="D9" s="7">
        <v>3.2657697401768888E-2</v>
      </c>
      <c r="E9" s="7">
        <v>4.7657697401768888E-2</v>
      </c>
      <c r="F9" s="7">
        <v>4.7657697401768888E-2</v>
      </c>
      <c r="G9" s="7">
        <v>1.7657697401768889E-2</v>
      </c>
      <c r="H9" s="7">
        <v>5.765769740176889E-2</v>
      </c>
      <c r="I9" s="7"/>
      <c r="J9" s="7"/>
    </row>
    <row r="10" spans="1:11" x14ac:dyDescent="0.25">
      <c r="A10" s="4" t="s">
        <v>70</v>
      </c>
      <c r="C10" s="7">
        <v>6.2E-2</v>
      </c>
      <c r="D10" s="7">
        <v>6.2E-2</v>
      </c>
      <c r="E10" s="7">
        <v>0.03</v>
      </c>
      <c r="F10" s="7">
        <v>2.5000000000000001E-2</v>
      </c>
      <c r="G10" s="7">
        <v>0.02</v>
      </c>
      <c r="H10" s="7">
        <v>0.05</v>
      </c>
      <c r="I10" s="7"/>
      <c r="J10" s="7"/>
    </row>
    <row r="11" spans="1:11" x14ac:dyDescent="0.25">
      <c r="A11" s="4" t="s">
        <v>71</v>
      </c>
      <c r="C11" s="7">
        <v>4.4999999999999998E-2</v>
      </c>
      <c r="D11" s="7">
        <v>4.4999999999999998E-2</v>
      </c>
      <c r="E11" s="7">
        <v>2.5000000000000001E-2</v>
      </c>
      <c r="F11" s="7">
        <v>2.5000000000000001E-2</v>
      </c>
      <c r="G11" s="7">
        <v>2.5000000000000001E-2</v>
      </c>
      <c r="H11" s="7">
        <v>0.08</v>
      </c>
      <c r="I11" s="7"/>
      <c r="J11" s="7"/>
    </row>
    <row r="12" spans="1:11" x14ac:dyDescent="0.25">
      <c r="A12" s="4" t="s">
        <v>72</v>
      </c>
      <c r="C12" s="7">
        <v>3.5000000000000003E-2</v>
      </c>
      <c r="D12" s="7">
        <v>3.5000000000000003E-2</v>
      </c>
      <c r="E12" s="7">
        <v>0.02</v>
      </c>
      <c r="F12" s="7">
        <v>1.4999999999999999E-2</v>
      </c>
      <c r="G12" s="7">
        <v>0.01</v>
      </c>
      <c r="H12" s="7">
        <v>0</v>
      </c>
      <c r="I12" s="7"/>
      <c r="J12" s="7"/>
    </row>
    <row r="13" spans="1:11" x14ac:dyDescent="0.25">
      <c r="A13" s="4" t="s">
        <v>73</v>
      </c>
      <c r="C13" s="7">
        <v>1.8297309220530671E-2</v>
      </c>
      <c r="D13" s="7">
        <v>1.329730922053067E-2</v>
      </c>
      <c r="E13" s="7">
        <v>2.3297309220530669E-2</v>
      </c>
      <c r="F13" s="7">
        <v>2.3297309220530669E-2</v>
      </c>
      <c r="G13" s="7">
        <v>1.8297309220530671E-2</v>
      </c>
      <c r="H13" s="7">
        <v>3.2973092205306679E-3</v>
      </c>
      <c r="I13" s="7"/>
      <c r="J13" s="7"/>
    </row>
    <row r="14" spans="1:11" x14ac:dyDescent="0.25">
      <c r="A14" s="4" t="s">
        <v>74</v>
      </c>
      <c r="C14" s="9">
        <v>0.64800000000000002</v>
      </c>
      <c r="D14" s="9">
        <v>0.64800000000000002</v>
      </c>
      <c r="E14" s="9">
        <v>0.64800000000000002</v>
      </c>
      <c r="F14" s="9">
        <v>0.64800000000000002</v>
      </c>
      <c r="G14" s="9">
        <v>0.64800000000000002</v>
      </c>
      <c r="H14" s="9">
        <v>0.61854545454545462</v>
      </c>
      <c r="I14" s="9"/>
      <c r="J14" s="9"/>
    </row>
    <row r="15" spans="1:11" x14ac:dyDescent="0.25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6.3686898578934989E-2</v>
      </c>
      <c r="D16" s="11">
        <f>MAX((MAX(Inputs!B18+((1-0.33)*D14*(1+(1-Inputs!B22)*Inputs!B21)+0.33)*Inputs!B19+IF(ISBLANK(D17),Inputs!B24,D17)+Inputs!B25+Inputs!B39,MIN(Inputs!B27,0.08)+0.025))*Inputs!B29+Inputs!B28*Inputs!B30,D15)</f>
        <v>6.3686898578934989E-2</v>
      </c>
      <c r="E16" s="11">
        <f>MAX((MAX(Inputs!B18+((1-0.33)*E14*(1+(1-Inputs!B22)*Inputs!B21)+0.33)*Inputs!B19+IF(ISBLANK(E17),Inputs!B24,E17)+Inputs!B25+Inputs!B39,MIN(Inputs!B27,0.08)+0.025))*Inputs!B29+Inputs!B28*Inputs!B30,E15)</f>
        <v>6.529461562073563E-2</v>
      </c>
      <c r="F16" s="11">
        <f>MAX((MAX(Inputs!B18+((1-0.33)*F14*(1+(1-Inputs!B22)*Inputs!B21)+0.33)*Inputs!B19+IF(ISBLANK(F17),Inputs!B24,F17)+Inputs!B25+Inputs!B39,MIN(Inputs!B27,0.08)+0.025))*Inputs!B29+Inputs!B28*Inputs!B30,F15)</f>
        <v>6.7706191183436598E-2</v>
      </c>
      <c r="G16" s="11">
        <f>MAX((MAX(Inputs!B18+((1-0.33)*G14*(1+(1-Inputs!B22)*Inputs!B21)+0.33)*Inputs!B19+IF(ISBLANK(G17),Inputs!B24,G17)+Inputs!B25+Inputs!B39,MIN(Inputs!B27,0.08)+0.025))*Inputs!B29+Inputs!B28*Inputs!B30,G15)</f>
        <v>6.3686898578934989E-2</v>
      </c>
      <c r="H16" s="11">
        <f>MAX((MAX(Inputs!B18+((1-0.33)*H14*(1+(1-Inputs!B22)*Inputs!B21)+0.33)*Inputs!B19+IF(ISBLANK(H17),Inputs!B24,H17)+Inputs!B25+Inputs!B39,MIN(Inputs!B27,0.08)+0.025))*Inputs!B29+Inputs!B28*Inputs!B30,H15)</f>
        <v>6.2738609251253033E-2</v>
      </c>
      <c r="I16" s="11">
        <f>MAX((MAX(Inputs!B18+((1-0.33)*I14*(1+(1-Inputs!B22)*Inputs!B21)+0.33)*Inputs!B19+IF(ISBLANK(I17),Inputs!B24,I17)+Inputs!B25+Inputs!B39,MIN(Inputs!B27,0.08)+0.025))*Inputs!B29+Inputs!B28*Inputs!B30,I15)</f>
        <v>4.8077928528481431E-2</v>
      </c>
      <c r="J16" s="11">
        <f>MAX((MAX(Inputs!B18+((1-0.33)*J14*(1+(1-Inputs!B22)*Inputs!B21)+0.33)*Inputs!B19+IF(ISBLANK(J17),Inputs!B24,J17)+Inputs!B25+Inputs!B39,MIN(Inputs!B27,0.08)+0.025))*Inputs!B29+Inputs!B28*Inputs!B30,J15)</f>
        <v>4.8077928528481431E-2</v>
      </c>
    </row>
    <row r="17" spans="1:10" x14ac:dyDescent="0.25">
      <c r="A17" s="16" t="s">
        <v>77</v>
      </c>
      <c r="C17" s="7"/>
      <c r="D17" s="7"/>
      <c r="E17" s="7">
        <v>1.2E-2</v>
      </c>
      <c r="F17" s="7">
        <v>1.7999999999999999E-2</v>
      </c>
      <c r="G17" s="7">
        <v>8.0000000000000002E-3</v>
      </c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 t="s">
        <v>84</v>
      </c>
      <c r="I18" s="18"/>
      <c r="J18" s="18"/>
    </row>
    <row r="19" spans="1:10" ht="39.950000000000003" customHeight="1" x14ac:dyDescent="0.25">
      <c r="A19" s="17" t="s">
        <v>85</v>
      </c>
      <c r="C19" s="18" t="s">
        <v>86</v>
      </c>
      <c r="D19" s="18" t="s">
        <v>87</v>
      </c>
      <c r="E19" s="18" t="s">
        <v>88</v>
      </c>
      <c r="F19" s="18" t="s">
        <v>89</v>
      </c>
      <c r="G19" s="18" t="s">
        <v>90</v>
      </c>
      <c r="H19" s="18" t="s">
        <v>91</v>
      </c>
      <c r="I19" s="18"/>
      <c r="J19" s="18"/>
    </row>
    <row r="20" spans="1:10" ht="27.95" customHeight="1" x14ac:dyDescent="0.25">
      <c r="A20" s="17" t="s">
        <v>92</v>
      </c>
      <c r="C20" s="18" t="s">
        <v>93</v>
      </c>
      <c r="D20" s="18" t="s">
        <v>94</v>
      </c>
      <c r="E20" s="18" t="s">
        <v>95</v>
      </c>
      <c r="F20" s="18" t="s">
        <v>96</v>
      </c>
      <c r="G20" s="18" t="s">
        <v>97</v>
      </c>
      <c r="H20" s="18"/>
      <c r="I20" s="18"/>
      <c r="J20" s="18"/>
    </row>
    <row r="21" spans="1:10" x14ac:dyDescent="0.25">
      <c r="A21" s="4" t="s">
        <v>98</v>
      </c>
      <c r="C21" s="6">
        <f t="shared" ref="C21:J21" si="0">C5*(1+C6)^1</f>
        <v>62181.24</v>
      </c>
      <c r="D21" s="6">
        <f t="shared" si="0"/>
        <v>58731.720891195429</v>
      </c>
      <c r="E21" s="6">
        <f t="shared" si="0"/>
        <v>9967.2071504442629</v>
      </c>
      <c r="F21" s="6">
        <f t="shared" si="0"/>
        <v>16465.783034889868</v>
      </c>
      <c r="G21" s="6">
        <f t="shared" si="0"/>
        <v>1917.6787472479025</v>
      </c>
      <c r="H21" s="6">
        <f t="shared" si="0"/>
        <v>679.9676929882105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99</v>
      </c>
      <c r="C22" s="6">
        <f t="shared" ref="C22:J22" si="1">C5*(1+C6)^2</f>
        <v>63424.864800000003</v>
      </c>
      <c r="D22" s="6">
        <f t="shared" si="1"/>
        <v>59706.351389771728</v>
      </c>
      <c r="E22" s="6">
        <f t="shared" si="1"/>
        <v>10232.281221533345</v>
      </c>
      <c r="F22" s="6">
        <f t="shared" si="1"/>
        <v>16739.026421687166</v>
      </c>
      <c r="G22" s="6">
        <f t="shared" si="1"/>
        <v>1968.6786818234925</v>
      </c>
      <c r="H22" s="6">
        <f t="shared" si="1"/>
        <v>636.85408196654168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100</v>
      </c>
      <c r="C23" s="6">
        <f t="shared" ref="C23:J23" si="2">C5*(1+C6)^3</f>
        <v>64693.362095999997</v>
      </c>
      <c r="D23" s="6">
        <f t="shared" si="2"/>
        <v>60697.155509592907</v>
      </c>
      <c r="E23" s="6">
        <f t="shared" si="2"/>
        <v>10504.404836401662</v>
      </c>
      <c r="F23" s="6">
        <f t="shared" si="2"/>
        <v>17016.804178229904</v>
      </c>
      <c r="G23" s="6">
        <f t="shared" si="2"/>
        <v>2021.0349401996398</v>
      </c>
      <c r="H23" s="6">
        <f t="shared" si="2"/>
        <v>596.47410590208551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101</v>
      </c>
      <c r="C24" s="6">
        <f t="shared" ref="C24:J24" si="3">C5*(1+C6)^4</f>
        <v>65987.229337919998</v>
      </c>
      <c r="D24" s="6">
        <f t="shared" si="3"/>
        <v>61704.401645732374</v>
      </c>
      <c r="E24" s="6">
        <f t="shared" si="3"/>
        <v>10783.765474976202</v>
      </c>
      <c r="F24" s="6">
        <f t="shared" si="3"/>
        <v>17299.19155065389</v>
      </c>
      <c r="G24" s="6">
        <f t="shared" si="3"/>
        <v>2074.7835932903022</v>
      </c>
      <c r="H24" s="6">
        <f t="shared" si="3"/>
        <v>558.65443762733696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102</v>
      </c>
      <c r="C25" s="6">
        <f t="shared" ref="C25:J25" si="4">C5*(1+C6)^5</f>
        <v>67306.973924678401</v>
      </c>
      <c r="D25" s="6">
        <f t="shared" si="4"/>
        <v>62728.362647177288</v>
      </c>
      <c r="E25" s="6">
        <f t="shared" si="4"/>
        <v>11070.555603141083</v>
      </c>
      <c r="F25" s="6">
        <f t="shared" si="4"/>
        <v>17586.26503377582</v>
      </c>
      <c r="G25" s="6">
        <f t="shared" si="4"/>
        <v>2129.9616713016321</v>
      </c>
      <c r="H25" s="6">
        <f t="shared" si="4"/>
        <v>523.23273984998127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103</v>
      </c>
      <c r="C26" s="7">
        <v>3.5000000000000003E-2</v>
      </c>
      <c r="D26" s="7">
        <v>3.5000000000000003E-2</v>
      </c>
      <c r="E26" s="7"/>
      <c r="F26" s="7"/>
      <c r="G26" s="7"/>
      <c r="H26" s="7">
        <v>0.02</v>
      </c>
      <c r="I26" s="7"/>
      <c r="J26" s="7"/>
    </row>
    <row r="27" spans="1:10" x14ac:dyDescent="0.25">
      <c r="A27" s="4" t="s">
        <v>104</v>
      </c>
      <c r="C27" s="11">
        <f t="shared" ref="C27:J27" si="5">IF(ISBLANK(C9),C7,C7+(C9-C7)*(0)/4)</f>
        <v>-4.1000000000000002E-2</v>
      </c>
      <c r="D27" s="11">
        <f t="shared" si="5"/>
        <v>-1.0999999999999999E-2</v>
      </c>
      <c r="E27" s="11">
        <f t="shared" si="5"/>
        <v>8.7657697401768889E-2</v>
      </c>
      <c r="F27" s="11">
        <f t="shared" si="5"/>
        <v>8.2657697401768884E-2</v>
      </c>
      <c r="G27" s="11">
        <f t="shared" si="5"/>
        <v>1.7657697401768889E-2</v>
      </c>
      <c r="H27" s="11">
        <f t="shared" si="5"/>
        <v>-0.3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105</v>
      </c>
      <c r="C28" s="11">
        <f t="shared" ref="C28:J28" si="6">IF(ISBLANK(C9),C7,C7+(C9-C7)*(1)/4)</f>
        <v>-2.0085575649557777E-2</v>
      </c>
      <c r="D28" s="11">
        <f t="shared" si="6"/>
        <v>-8.5575649557776551E-5</v>
      </c>
      <c r="E28" s="11">
        <f t="shared" si="6"/>
        <v>7.7657697401768894E-2</v>
      </c>
      <c r="F28" s="11">
        <f t="shared" si="6"/>
        <v>7.390769740176889E-2</v>
      </c>
      <c r="G28" s="11">
        <f t="shared" si="6"/>
        <v>1.7657697401768889E-2</v>
      </c>
      <c r="H28" s="11">
        <f t="shared" si="6"/>
        <v>-0.21058557564955777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106</v>
      </c>
      <c r="C29" s="11">
        <f t="shared" ref="C29:J29" si="7">IF(ISBLANK(C9),C7,C7+(C9-C7)*(2)/4)</f>
        <v>8.2884870088444779E-4</v>
      </c>
      <c r="D29" s="11">
        <f t="shared" si="7"/>
        <v>1.0828848700884446E-2</v>
      </c>
      <c r="E29" s="11">
        <f t="shared" si="7"/>
        <v>6.7657697401768885E-2</v>
      </c>
      <c r="F29" s="11">
        <f t="shared" si="7"/>
        <v>6.5157697401768883E-2</v>
      </c>
      <c r="G29" s="11">
        <f t="shared" si="7"/>
        <v>1.7657697401768889E-2</v>
      </c>
      <c r="H29" s="11">
        <f t="shared" si="7"/>
        <v>-0.12117115129911554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107</v>
      </c>
      <c r="C30" s="11">
        <f t="shared" ref="C30:J30" si="8">IF(ISBLANK(C9),C7,C7+(C9-C7)*(3)/4)</f>
        <v>2.1743273051326679E-2</v>
      </c>
      <c r="D30" s="11">
        <f t="shared" si="8"/>
        <v>2.1743273051326669E-2</v>
      </c>
      <c r="E30" s="11">
        <f t="shared" si="8"/>
        <v>5.765769740176889E-2</v>
      </c>
      <c r="F30" s="11">
        <f t="shared" si="8"/>
        <v>5.6407697401768889E-2</v>
      </c>
      <c r="G30" s="11">
        <f t="shared" si="8"/>
        <v>1.7657697401768889E-2</v>
      </c>
      <c r="H30" s="11">
        <f t="shared" si="8"/>
        <v>-3.1756726948673319E-2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108</v>
      </c>
      <c r="C31" s="11">
        <f t="shared" ref="C31:J31" si="9">IF(ISBLANK(C9),C7,C7+(C9-C7)*(4)/4)</f>
        <v>4.2657697401768897E-2</v>
      </c>
      <c r="D31" s="11">
        <f t="shared" si="9"/>
        <v>3.2657697401768895E-2</v>
      </c>
      <c r="E31" s="11">
        <f t="shared" si="9"/>
        <v>4.7657697401768888E-2</v>
      </c>
      <c r="F31" s="11">
        <f t="shared" si="9"/>
        <v>4.7657697401768888E-2</v>
      </c>
      <c r="G31" s="11">
        <f t="shared" si="9"/>
        <v>1.7657697401768889E-2</v>
      </c>
      <c r="H31" s="11">
        <f t="shared" si="9"/>
        <v>5.7657697401768904E-2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109</v>
      </c>
      <c r="C33" s="6">
        <f t="shared" ref="C33:J37" si="10">C21*C27</f>
        <v>-2549.43084</v>
      </c>
      <c r="D33" s="6">
        <f t="shared" si="10"/>
        <v>-646.04892980314969</v>
      </c>
      <c r="E33" s="6">
        <f t="shared" si="10"/>
        <v>873.70242833439033</v>
      </c>
      <c r="F33" s="6">
        <f t="shared" si="10"/>
        <v>1361.0237115811065</v>
      </c>
      <c r="G33" s="6">
        <f t="shared" si="10"/>
        <v>33.861791032706705</v>
      </c>
      <c r="H33" s="6">
        <f t="shared" si="10"/>
        <v>-203.99030789646315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110</v>
      </c>
      <c r="C34" s="6">
        <f t="shared" si="10"/>
        <v>-1273.9249200033742</v>
      </c>
      <c r="D34" s="6">
        <f t="shared" si="10"/>
        <v>-5.1094098029045707</v>
      </c>
      <c r="E34" s="6">
        <f t="shared" si="10"/>
        <v>794.61539883163869</v>
      </c>
      <c r="F34" s="6">
        <f t="shared" si="10"/>
        <v>1237.1428995742692</v>
      </c>
      <c r="G34" s="6">
        <f t="shared" si="10"/>
        <v>34.762332444952484</v>
      </c>
      <c r="H34" s="6">
        <f t="shared" si="10"/>
        <v>-134.11228345569484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111</v>
      </c>
      <c r="C35" s="6">
        <f t="shared" si="10"/>
        <v>53.621009129116771</v>
      </c>
      <c r="D35" s="6">
        <f t="shared" si="10"/>
        <v>657.28031358743635</v>
      </c>
      <c r="E35" s="6">
        <f t="shared" si="10"/>
        <v>710.70384380694122</v>
      </c>
      <c r="F35" s="6">
        <f t="shared" si="10"/>
        <v>1108.7757773902606</v>
      </c>
      <c r="G35" s="6">
        <f t="shared" si="10"/>
        <v>35.686823412447325</v>
      </c>
      <c r="H35" s="6">
        <f t="shared" si="10"/>
        <v>-72.275454132266276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112</v>
      </c>
      <c r="C36" s="6">
        <f t="shared" si="10"/>
        <v>1434.7783453949091</v>
      </c>
      <c r="D36" s="6">
        <f t="shared" si="10"/>
        <v>1341.6556534518897</v>
      </c>
      <c r="E36" s="6">
        <f t="shared" si="10"/>
        <v>621.76708660782049</v>
      </c>
      <c r="F36" s="6">
        <f t="shared" si="10"/>
        <v>975.80756228452174</v>
      </c>
      <c r="G36" s="6">
        <f t="shared" si="10"/>
        <v>36.635900864474891</v>
      </c>
      <c r="H36" s="6">
        <f t="shared" si="10"/>
        <v>-17.741036434395991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113</v>
      </c>
      <c r="C37" s="6">
        <f t="shared" si="10"/>
        <v>2871.1605267076807</v>
      </c>
      <c r="D37" s="6">
        <f t="shared" si="10"/>
        <v>2048.5638858399388</v>
      </c>
      <c r="E37" s="6">
        <f t="shared" si="10"/>
        <v>527.59718900395478</v>
      </c>
      <c r="F37" s="6">
        <f t="shared" si="10"/>
        <v>838.12089740699696</v>
      </c>
      <c r="G37" s="6">
        <f t="shared" si="10"/>
        <v>37.610218669210148</v>
      </c>
      <c r="H37" s="6">
        <f t="shared" si="10"/>
        <v>30.168394984968689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114</v>
      </c>
      <c r="C39" s="6">
        <f>C33*(1-Inputs!B22)</f>
        <v>-1912.07313</v>
      </c>
      <c r="D39" s="6">
        <f>D33*(1-Inputs!B22)</f>
        <v>-484.53669735236224</v>
      </c>
      <c r="E39" s="6">
        <f>E33*(1-Inputs!B22)</f>
        <v>655.27682125079275</v>
      </c>
      <c r="F39" s="6">
        <f>F33*(1-Inputs!B22)</f>
        <v>1020.7677836858298</v>
      </c>
      <c r="G39" s="6">
        <f>G33*(1-Inputs!B22)</f>
        <v>25.396343274530029</v>
      </c>
      <c r="H39" s="6">
        <f>H33*(1-Inputs!B22)</f>
        <v>-152.99273092234736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115</v>
      </c>
      <c r="C40" s="6">
        <f>C34*(1-Inputs!B22)</f>
        <v>-955.44369000253062</v>
      </c>
      <c r="D40" s="6">
        <f>D34*(1-Inputs!B22)</f>
        <v>-3.832057352178428</v>
      </c>
      <c r="E40" s="6">
        <f>E34*(1-Inputs!B22)</f>
        <v>595.96154912372901</v>
      </c>
      <c r="F40" s="6">
        <f>F34*(1-Inputs!B22)</f>
        <v>927.85717468070197</v>
      </c>
      <c r="G40" s="6">
        <f>G34*(1-Inputs!B22)</f>
        <v>26.071749333714365</v>
      </c>
      <c r="H40" s="6">
        <f>H34*(1-Inputs!B22)</f>
        <v>-100.58421259177112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116</v>
      </c>
      <c r="C41" s="6">
        <f>C35*(1-Inputs!B22)</f>
        <v>40.215756846837579</v>
      </c>
      <c r="D41" s="6">
        <f>D35*(1-Inputs!B22)</f>
        <v>492.96023519057724</v>
      </c>
      <c r="E41" s="6">
        <f>E35*(1-Inputs!B22)</f>
        <v>533.02788285520592</v>
      </c>
      <c r="F41" s="6">
        <f>F35*(1-Inputs!B22)</f>
        <v>831.58183304269551</v>
      </c>
      <c r="G41" s="6">
        <f>G35*(1-Inputs!B22)</f>
        <v>26.765117559335494</v>
      </c>
      <c r="H41" s="6">
        <f>H35*(1-Inputs!B22)</f>
        <v>-54.206590599199707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117</v>
      </c>
      <c r="C42" s="6">
        <f>C36*(1-Inputs!B22)</f>
        <v>1076.083759046182</v>
      </c>
      <c r="D42" s="6">
        <f>D36*(1-Inputs!B22)</f>
        <v>1006.2417400889174</v>
      </c>
      <c r="E42" s="6">
        <f>E36*(1-Inputs!B22)</f>
        <v>466.32531495586534</v>
      </c>
      <c r="F42" s="6">
        <f>F36*(1-Inputs!B22)</f>
        <v>731.8556717133913</v>
      </c>
      <c r="G42" s="6">
        <f>G36*(1-Inputs!B22)</f>
        <v>27.476925648356168</v>
      </c>
      <c r="H42" s="6">
        <f>H36*(1-Inputs!B22)</f>
        <v>-13.305777325796992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118</v>
      </c>
      <c r="C43" s="6">
        <f>C37*(1-Inputs!B22)</f>
        <v>2153.3703950307604</v>
      </c>
      <c r="D43" s="6">
        <f>D37*(1-Inputs!B22)</f>
        <v>1536.4229143799541</v>
      </c>
      <c r="E43" s="6">
        <f>E37*(1-Inputs!B22)</f>
        <v>395.69789175296609</v>
      </c>
      <c r="F43" s="6">
        <f>F37*(1-Inputs!B22)</f>
        <v>628.59067305524775</v>
      </c>
      <c r="G43" s="6">
        <f>G37*(1-Inputs!B22)</f>
        <v>28.207664001907609</v>
      </c>
      <c r="H43" s="6">
        <f>H37*(1-Inputs!B22)</f>
        <v>22.626296238726518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119</v>
      </c>
      <c r="C45" s="6">
        <f t="shared" ref="C45:J45" si="11">C21*IF(ISBLANK(C26),C12,C12+(C26-C12)*(0)/4)</f>
        <v>2176.3434000000002</v>
      </c>
      <c r="D45" s="6">
        <f t="shared" si="11"/>
        <v>2055.6102311918403</v>
      </c>
      <c r="E45" s="6">
        <f t="shared" si="11"/>
        <v>199.34414300888525</v>
      </c>
      <c r="F45" s="6">
        <f t="shared" si="11"/>
        <v>246.98674552334802</v>
      </c>
      <c r="G45" s="6">
        <f t="shared" si="11"/>
        <v>19.176787472479024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120</v>
      </c>
      <c r="C46" s="6">
        <f t="shared" ref="C46:J46" si="12">C22*IF(ISBLANK(C26),C12,C12+(C26-C12)*(1)/4)</f>
        <v>2219.8702680000001</v>
      </c>
      <c r="D46" s="6">
        <f t="shared" si="12"/>
        <v>2089.7222986420106</v>
      </c>
      <c r="E46" s="6">
        <f t="shared" si="12"/>
        <v>204.64562443066691</v>
      </c>
      <c r="F46" s="6">
        <f t="shared" si="12"/>
        <v>251.08539632530747</v>
      </c>
      <c r="G46" s="6">
        <f t="shared" si="12"/>
        <v>19.686786818234925</v>
      </c>
      <c r="H46" s="6">
        <f t="shared" si="12"/>
        <v>3.1842704098327084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121</v>
      </c>
      <c r="C47" s="6">
        <f t="shared" ref="C47:J47" si="13">C23*IF(ISBLANK(C26),C12,C12+(C26-C12)*(2)/4)</f>
        <v>2264.2676733600001</v>
      </c>
      <c r="D47" s="6">
        <f t="shared" si="13"/>
        <v>2124.4004428357521</v>
      </c>
      <c r="E47" s="6">
        <f t="shared" si="13"/>
        <v>210.08809672803324</v>
      </c>
      <c r="F47" s="6">
        <f t="shared" si="13"/>
        <v>255.25206267344856</v>
      </c>
      <c r="G47" s="6">
        <f t="shared" si="13"/>
        <v>20.2103494019964</v>
      </c>
      <c r="H47" s="6">
        <f t="shared" si="13"/>
        <v>5.9647410590208549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122</v>
      </c>
      <c r="C48" s="6">
        <f t="shared" ref="C48:J48" si="14">C24*IF(ISBLANK(C26),C12,C12+(C26-C12)*(3)/4)</f>
        <v>2309.5530268272</v>
      </c>
      <c r="D48" s="6">
        <f t="shared" si="14"/>
        <v>2159.6540576006332</v>
      </c>
      <c r="E48" s="6">
        <f t="shared" si="14"/>
        <v>215.67530949952405</v>
      </c>
      <c r="F48" s="6">
        <f t="shared" si="14"/>
        <v>259.48787325980834</v>
      </c>
      <c r="G48" s="6">
        <f t="shared" si="14"/>
        <v>20.747835932903023</v>
      </c>
      <c r="H48" s="6">
        <f t="shared" si="14"/>
        <v>8.3798165644100546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123</v>
      </c>
      <c r="C49" s="6">
        <f t="shared" ref="C49:J49" si="15">C25*IF(ISBLANK(C26),C12,C12+(C26-C12)*(4)/4)</f>
        <v>2355.7440873637443</v>
      </c>
      <c r="D49" s="6">
        <f t="shared" si="15"/>
        <v>2195.4926926512053</v>
      </c>
      <c r="E49" s="6">
        <f t="shared" si="15"/>
        <v>221.41111206282167</v>
      </c>
      <c r="F49" s="6">
        <f t="shared" si="15"/>
        <v>263.79397550663731</v>
      </c>
      <c r="G49" s="6">
        <f t="shared" si="15"/>
        <v>21.29961671301632</v>
      </c>
      <c r="H49" s="6">
        <f t="shared" si="15"/>
        <v>10.464654796999625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124</v>
      </c>
      <c r="C51" s="6">
        <f t="shared" ref="C51:J55" si="16">C39-C45</f>
        <v>-4088.4165300000004</v>
      </c>
      <c r="D51" s="6">
        <f t="shared" si="16"/>
        <v>-2540.1469285442026</v>
      </c>
      <c r="E51" s="6">
        <f t="shared" si="16"/>
        <v>455.93267824190752</v>
      </c>
      <c r="F51" s="6">
        <f t="shared" si="16"/>
        <v>773.78103816248176</v>
      </c>
      <c r="G51" s="6">
        <f t="shared" si="16"/>
        <v>6.2195558020510049</v>
      </c>
      <c r="H51" s="6">
        <f t="shared" si="16"/>
        <v>-152.99273092234736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125</v>
      </c>
      <c r="C52" s="6">
        <f t="shared" si="16"/>
        <v>-3175.3139580025309</v>
      </c>
      <c r="D52" s="6">
        <f t="shared" si="16"/>
        <v>-2093.5543559941889</v>
      </c>
      <c r="E52" s="6">
        <f t="shared" si="16"/>
        <v>391.31592469306213</v>
      </c>
      <c r="F52" s="6">
        <f t="shared" si="16"/>
        <v>676.77177835539453</v>
      </c>
      <c r="G52" s="6">
        <f t="shared" si="16"/>
        <v>6.3849625154794403</v>
      </c>
      <c r="H52" s="6">
        <f t="shared" si="16"/>
        <v>-103.76848300160383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126</v>
      </c>
      <c r="C53" s="6">
        <f t="shared" si="16"/>
        <v>-2224.0519165131627</v>
      </c>
      <c r="D53" s="6">
        <f t="shared" si="16"/>
        <v>-1631.4402076451747</v>
      </c>
      <c r="E53" s="6">
        <f t="shared" si="16"/>
        <v>322.93978612717268</v>
      </c>
      <c r="F53" s="6">
        <f t="shared" si="16"/>
        <v>576.32977036924694</v>
      </c>
      <c r="G53" s="6">
        <f t="shared" si="16"/>
        <v>6.5547681573390939</v>
      </c>
      <c r="H53" s="6">
        <f t="shared" si="16"/>
        <v>-60.171331658220559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127</v>
      </c>
      <c r="C54" s="6">
        <f t="shared" si="16"/>
        <v>-1233.4692677810181</v>
      </c>
      <c r="D54" s="6">
        <f t="shared" si="16"/>
        <v>-1153.4123175117159</v>
      </c>
      <c r="E54" s="6">
        <f t="shared" si="16"/>
        <v>250.65000545634129</v>
      </c>
      <c r="F54" s="6">
        <f t="shared" si="16"/>
        <v>472.36779845358296</v>
      </c>
      <c r="G54" s="6">
        <f t="shared" si="16"/>
        <v>6.7290897154531457</v>
      </c>
      <c r="H54" s="6">
        <f t="shared" si="16"/>
        <v>-21.685593890207045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128</v>
      </c>
      <c r="C55" s="6">
        <f t="shared" si="16"/>
        <v>-202.37369233298386</v>
      </c>
      <c r="D55" s="6">
        <f t="shared" si="16"/>
        <v>-659.06977827125115</v>
      </c>
      <c r="E55" s="6">
        <f t="shared" si="16"/>
        <v>174.28677969014441</v>
      </c>
      <c r="F55" s="6">
        <f t="shared" si="16"/>
        <v>364.79669754861044</v>
      </c>
      <c r="G55" s="6">
        <f t="shared" si="16"/>
        <v>6.9080472888912894</v>
      </c>
      <c r="H55" s="6">
        <f t="shared" si="16"/>
        <v>12.161641441726893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129</v>
      </c>
      <c r="C57" s="6">
        <f t="shared" ref="C57:J57" si="17">C51/((1+C16))</f>
        <v>-3843.6277963581629</v>
      </c>
      <c r="D57" s="6">
        <f t="shared" si="17"/>
        <v>-2388.0588657600179</v>
      </c>
      <c r="E57" s="6">
        <f t="shared" si="17"/>
        <v>427.98740513321798</v>
      </c>
      <c r="F57" s="6">
        <f t="shared" si="17"/>
        <v>724.7134507151535</v>
      </c>
      <c r="G57" s="6">
        <f t="shared" si="17"/>
        <v>5.8471678182369367</v>
      </c>
      <c r="H57" s="6">
        <f t="shared" si="17"/>
        <v>-143.96082874050995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130</v>
      </c>
      <c r="C58" s="6">
        <f t="shared" ref="C58:J58" si="18">C52/((1+C16)*(1+C16+(C104-C16)*1/5))</f>
        <v>-2800.0283399107011</v>
      </c>
      <c r="D58" s="6">
        <f t="shared" si="18"/>
        <v>-1846.1202909254348</v>
      </c>
      <c r="E58" s="6">
        <f t="shared" si="18"/>
        <v>344.027329802206</v>
      </c>
      <c r="F58" s="6">
        <f t="shared" si="18"/>
        <v>592.3056344165966</v>
      </c>
      <c r="G58" s="6">
        <f t="shared" si="18"/>
        <v>5.6303333242223292</v>
      </c>
      <c r="H58" s="6">
        <f t="shared" si="18"/>
        <v>-91.651107342926281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131</v>
      </c>
      <c r="C59" s="6">
        <f t="shared" ref="C59:J59" si="19">C53/((1+C16)*(1+C16+(C104-C16)*1/5)*(1+C16+(C104-C16)*2/5))</f>
        <v>-1835.3373233589011</v>
      </c>
      <c r="D59" s="6">
        <f t="shared" si="19"/>
        <v>-1346.3009031794172</v>
      </c>
      <c r="E59" s="6">
        <f t="shared" si="19"/>
        <v>265.29513875071126</v>
      </c>
      <c r="F59" s="6">
        <f t="shared" si="19"/>
        <v>470.26155196834122</v>
      </c>
      <c r="G59" s="6">
        <f t="shared" si="19"/>
        <v>5.4091411067371498</v>
      </c>
      <c r="H59" s="6">
        <f t="shared" si="19"/>
        <v>-49.76091976074062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132</v>
      </c>
      <c r="C60" s="6">
        <f t="shared" ref="C60:J60" si="20">C54/((1+C16)*(1+C16+(C104-C16)*1/5)*(1+C16+(C104-C16)*2/5)*(1+C16+(C104-C16)*3/5))</f>
        <v>-950.39131312397751</v>
      </c>
      <c r="D60" s="6">
        <f t="shared" si="20"/>
        <v>-888.70722250369067</v>
      </c>
      <c r="E60" s="6">
        <f t="shared" si="20"/>
        <v>191.96727465129888</v>
      </c>
      <c r="F60" s="6">
        <f t="shared" si="20"/>
        <v>358.52972092877724</v>
      </c>
      <c r="G60" s="6">
        <f t="shared" si="20"/>
        <v>5.1847813138494345</v>
      </c>
      <c r="H60" s="6">
        <f t="shared" si="20"/>
        <v>-16.750473343833352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133</v>
      </c>
      <c r="C61" s="6">
        <f t="shared" ref="C61:J61" si="21">C55/((1+C16)*(1+C16+(C104-C16)*1/5)*(1+C16+(C104-C16)*2/5)*(1+C16+(C104-C16)*3/5)*(1+C16+(C104-C16)*4/5))</f>
        <v>-145.25848764095059</v>
      </c>
      <c r="D61" s="6">
        <f t="shared" si="21"/>
        <v>-473.06286769733038</v>
      </c>
      <c r="E61" s="6">
        <f t="shared" si="21"/>
        <v>124.16161380681206</v>
      </c>
      <c r="F61" s="6">
        <f t="shared" si="21"/>
        <v>256.97220211306956</v>
      </c>
      <c r="G61" s="6">
        <f t="shared" si="21"/>
        <v>4.9584137649939493</v>
      </c>
      <c r="H61" s="6">
        <f t="shared" si="21"/>
        <v>8.7526192016089439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134</v>
      </c>
    </row>
    <row r="63" spans="1:10" x14ac:dyDescent="0.25">
      <c r="A63" s="4" t="s">
        <v>135</v>
      </c>
      <c r="C63" s="6">
        <f t="shared" ref="C63:J63" si="22">C25*(1+(C6+(C13-C6)*1/5))</f>
        <v>68630.192810392866</v>
      </c>
      <c r="D63" s="6">
        <f t="shared" si="22"/>
        <v>63727.948929030652</v>
      </c>
      <c r="E63" s="6">
        <f t="shared" si="22"/>
        <v>11357.672196323847</v>
      </c>
      <c r="F63" s="6">
        <f t="shared" si="22"/>
        <v>17901.677451112148</v>
      </c>
      <c r="G63" s="6">
        <f t="shared" si="22"/>
        <v>2183.0725991210506</v>
      </c>
      <c r="H63" s="6">
        <f t="shared" si="22"/>
        <v>497.03717466604587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136</v>
      </c>
      <c r="C64" s="6">
        <f t="shared" ref="C64:J64" si="23">C63*(1+(C6+(C13-C6)*2/5))</f>
        <v>69956.05426800414</v>
      </c>
      <c r="D64" s="6">
        <f t="shared" si="23"/>
        <v>64701.43762409567</v>
      </c>
      <c r="E64" s="6">
        <f t="shared" si="23"/>
        <v>11644.745251861048</v>
      </c>
      <c r="F64" s="6">
        <f t="shared" si="23"/>
        <v>18246.744721223746</v>
      </c>
      <c r="G64" s="6">
        <f t="shared" si="23"/>
        <v>2233.8851305615008</v>
      </c>
      <c r="H64" s="6">
        <f t="shared" si="23"/>
        <v>478.78382974442849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137</v>
      </c>
      <c r="C65" s="6">
        <f t="shared" ref="C65:J65" si="24">C64*(1+(C6+(C13-C6)*3/5))</f>
        <v>71283.707236222108</v>
      </c>
      <c r="D65" s="6">
        <f t="shared" si="24"/>
        <v>65647.128905939957</v>
      </c>
      <c r="E65" s="6">
        <f t="shared" si="24"/>
        <v>11931.395013143838</v>
      </c>
      <c r="F65" s="6">
        <f t="shared" si="24"/>
        <v>18622.923860222869</v>
      </c>
      <c r="G65" s="6">
        <f t="shared" si="24"/>
        <v>2282.1733118350962</v>
      </c>
      <c r="H65" s="6">
        <f t="shared" si="24"/>
        <v>467.58806018262464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138</v>
      </c>
      <c r="C66" s="6">
        <f t="shared" ref="C66:J66" si="25">C65*(1+(C6+(C13-C6)*4/5))</f>
        <v>72612.282092116555</v>
      </c>
      <c r="D66" s="6">
        <f t="shared" si="25"/>
        <v>66563.350855130862</v>
      </c>
      <c r="E66" s="6">
        <f t="shared" si="25"/>
        <v>12217.232711955476</v>
      </c>
      <c r="F66" s="6">
        <f t="shared" si="25"/>
        <v>19031.823135975945</v>
      </c>
      <c r="G66" s="6">
        <f t="shared" si="25"/>
        <v>2327.7181221492133</v>
      </c>
      <c r="H66" s="6">
        <f t="shared" si="25"/>
        <v>462.89196624676816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139</v>
      </c>
      <c r="C67" s="6">
        <f t="shared" ref="C67:J67" si="26">C66*(1+(C6+(C13-C6)*5/5))</f>
        <v>73940.891470764414</v>
      </c>
      <c r="D67" s="6">
        <f t="shared" si="26"/>
        <v>67448.464314206212</v>
      </c>
      <c r="E67" s="6">
        <f t="shared" si="26"/>
        <v>12501.861360265084</v>
      </c>
      <c r="F67" s="6">
        <f t="shared" si="26"/>
        <v>19475.213404605227</v>
      </c>
      <c r="G67" s="6">
        <f t="shared" si="26"/>
        <v>2370.3091004084108</v>
      </c>
      <c r="H67" s="6">
        <f t="shared" si="26"/>
        <v>464.41826419518316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140</v>
      </c>
      <c r="C69" s="11">
        <f t="shared" ref="C69:J69" si="27">IF(ISBLANK(C9),C7,C9)</f>
        <v>4.265769740176889E-2</v>
      </c>
      <c r="D69" s="11">
        <f t="shared" si="27"/>
        <v>3.2657697401768888E-2</v>
      </c>
      <c r="E69" s="11">
        <f t="shared" si="27"/>
        <v>4.7657697401768888E-2</v>
      </c>
      <c r="F69" s="11">
        <f t="shared" si="27"/>
        <v>4.7657697401768888E-2</v>
      </c>
      <c r="G69" s="11">
        <f t="shared" si="27"/>
        <v>1.7657697401768889E-2</v>
      </c>
      <c r="H69" s="11">
        <f t="shared" si="27"/>
        <v>5.765769740176889E-2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141</v>
      </c>
      <c r="C70" s="11">
        <f t="shared" ref="C70:J70" si="28">IF(ISBLANK(C9),C7,C9)</f>
        <v>4.265769740176889E-2</v>
      </c>
      <c r="D70" s="11">
        <f t="shared" si="28"/>
        <v>3.2657697401768888E-2</v>
      </c>
      <c r="E70" s="11">
        <f t="shared" si="28"/>
        <v>4.7657697401768888E-2</v>
      </c>
      <c r="F70" s="11">
        <f t="shared" si="28"/>
        <v>4.7657697401768888E-2</v>
      </c>
      <c r="G70" s="11">
        <f t="shared" si="28"/>
        <v>1.7657697401768889E-2</v>
      </c>
      <c r="H70" s="11">
        <f t="shared" si="28"/>
        <v>5.765769740176889E-2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142</v>
      </c>
      <c r="C71" s="11">
        <f t="shared" ref="C71:J71" si="29">IF(ISBLANK(C9),C7,C9)</f>
        <v>4.265769740176889E-2</v>
      </c>
      <c r="D71" s="11">
        <f t="shared" si="29"/>
        <v>3.2657697401768888E-2</v>
      </c>
      <c r="E71" s="11">
        <f t="shared" si="29"/>
        <v>4.7657697401768888E-2</v>
      </c>
      <c r="F71" s="11">
        <f t="shared" si="29"/>
        <v>4.7657697401768888E-2</v>
      </c>
      <c r="G71" s="11">
        <f t="shared" si="29"/>
        <v>1.7657697401768889E-2</v>
      </c>
      <c r="H71" s="11">
        <f t="shared" si="29"/>
        <v>5.765769740176889E-2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143</v>
      </c>
      <c r="C72" s="11">
        <f t="shared" ref="C72:J72" si="30">IF(ISBLANK(C9),C7,C9)</f>
        <v>4.265769740176889E-2</v>
      </c>
      <c r="D72" s="11">
        <f t="shared" si="30"/>
        <v>3.2657697401768888E-2</v>
      </c>
      <c r="E72" s="11">
        <f t="shared" si="30"/>
        <v>4.7657697401768888E-2</v>
      </c>
      <c r="F72" s="11">
        <f t="shared" si="30"/>
        <v>4.7657697401768888E-2</v>
      </c>
      <c r="G72" s="11">
        <f t="shared" si="30"/>
        <v>1.7657697401768889E-2</v>
      </c>
      <c r="H72" s="11">
        <f t="shared" si="30"/>
        <v>5.765769740176889E-2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144</v>
      </c>
      <c r="C73" s="11">
        <f t="shared" ref="C73:J73" si="31">IF(ISBLANK(C9),C7,C9)</f>
        <v>4.265769740176889E-2</v>
      </c>
      <c r="D73" s="11">
        <f t="shared" si="31"/>
        <v>3.2657697401768888E-2</v>
      </c>
      <c r="E73" s="11">
        <f t="shared" si="31"/>
        <v>4.7657697401768888E-2</v>
      </c>
      <c r="F73" s="11">
        <f t="shared" si="31"/>
        <v>4.7657697401768888E-2</v>
      </c>
      <c r="G73" s="11">
        <f t="shared" si="31"/>
        <v>1.7657697401768889E-2</v>
      </c>
      <c r="H73" s="11">
        <f t="shared" si="31"/>
        <v>5.765769740176889E-2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145</v>
      </c>
      <c r="C75" s="6">
        <f t="shared" ref="C75:J79" si="32">C63*C69</f>
        <v>2927.605997530794</v>
      </c>
      <c r="D75" s="6">
        <f t="shared" si="32"/>
        <v>2081.2080721596649</v>
      </c>
      <c r="E75" s="6">
        <f t="shared" si="32"/>
        <v>541.28050472088569</v>
      </c>
      <c r="F75" s="6">
        <f t="shared" si="32"/>
        <v>853.15272694917212</v>
      </c>
      <c r="G75" s="6">
        <f t="shared" si="32"/>
        <v>38.548035361372634</v>
      </c>
      <c r="H75" s="6">
        <f t="shared" si="32"/>
        <v>28.658019014325024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146</v>
      </c>
      <c r="C76" s="6">
        <f t="shared" si="32"/>
        <v>2984.1641943862437</v>
      </c>
      <c r="D76" s="6">
        <f t="shared" si="32"/>
        <v>2112.9999713871412</v>
      </c>
      <c r="E76" s="6">
        <f t="shared" si="32"/>
        <v>554.96174553387891</v>
      </c>
      <c r="F76" s="6">
        <f t="shared" si="32"/>
        <v>869.59783849140513</v>
      </c>
      <c r="G76" s="6">
        <f t="shared" si="32"/>
        <v>39.445267665765968</v>
      </c>
      <c r="H76" s="6">
        <f t="shared" si="32"/>
        <v>27.605573176264294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147</v>
      </c>
      <c r="C77" s="6">
        <f t="shared" si="32"/>
        <v>3040.7988129590462</v>
      </c>
      <c r="D77" s="6">
        <f t="shared" si="32"/>
        <v>2143.8840711051025</v>
      </c>
      <c r="E77" s="6">
        <f t="shared" si="32"/>
        <v>568.62281311738332</v>
      </c>
      <c r="F77" s="6">
        <f t="shared" si="32"/>
        <v>887.52567006668323</v>
      </c>
      <c r="G77" s="6">
        <f t="shared" si="32"/>
        <v>40.297925758776877</v>
      </c>
      <c r="H77" s="6">
        <f t="shared" si="32"/>
        <v>26.960050882689874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148</v>
      </c>
      <c r="C78" s="6">
        <f t="shared" si="32"/>
        <v>3097.4727571373901</v>
      </c>
      <c r="D78" s="6">
        <f t="shared" si="32"/>
        <v>2173.8057702746382</v>
      </c>
      <c r="E78" s="6">
        <f t="shared" si="32"/>
        <v>582.24517967336635</v>
      </c>
      <c r="F78" s="6">
        <f t="shared" si="32"/>
        <v>907.01286801832578</v>
      </c>
      <c r="G78" s="6">
        <f t="shared" si="32"/>
        <v>41.102142237524518</v>
      </c>
      <c r="H78" s="6">
        <f t="shared" si="32"/>
        <v>26.689284919565978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149</v>
      </c>
      <c r="C79" s="6">
        <f t="shared" si="32"/>
        <v>3154.1481739769029</v>
      </c>
      <c r="D79" s="6">
        <f t="shared" si="32"/>
        <v>2202.7115377873538</v>
      </c>
      <c r="E79" s="6">
        <f t="shared" si="32"/>
        <v>595.8099256663802</v>
      </c>
      <c r="F79" s="6">
        <f t="shared" si="32"/>
        <v>928.14382727154918</v>
      </c>
      <c r="G79" s="6">
        <f t="shared" si="32"/>
        <v>41.854200843670746</v>
      </c>
      <c r="H79" s="6">
        <f t="shared" si="32"/>
        <v>26.777287744820629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150</v>
      </c>
      <c r="C81" s="6">
        <f>C75*(1-Inputs!B22)</f>
        <v>2195.7044981480954</v>
      </c>
      <c r="D81" s="6">
        <f>D75*(1-Inputs!B22)</f>
        <v>1560.9060541197487</v>
      </c>
      <c r="E81" s="6">
        <f>E75*(1-Inputs!B22)</f>
        <v>405.96037854066424</v>
      </c>
      <c r="F81" s="6">
        <f>F75*(1-Inputs!B22)</f>
        <v>639.86454521187909</v>
      </c>
      <c r="G81" s="6">
        <f>G75*(1-Inputs!B22)</f>
        <v>28.911026521029477</v>
      </c>
      <c r="H81" s="6">
        <f>H75*(1-Inputs!B22)</f>
        <v>21.493514260743769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151</v>
      </c>
      <c r="C82" s="6">
        <f>C76*(1-Inputs!B22)</f>
        <v>2238.1231457896829</v>
      </c>
      <c r="D82" s="6">
        <f>D76*(1-Inputs!B22)</f>
        <v>1584.7499785403559</v>
      </c>
      <c r="E82" s="6">
        <f>E76*(1-Inputs!B22)</f>
        <v>416.22130915040918</v>
      </c>
      <c r="F82" s="6">
        <f>F76*(1-Inputs!B22)</f>
        <v>652.19837886855385</v>
      </c>
      <c r="G82" s="6">
        <f>G76*(1-Inputs!B22)</f>
        <v>29.583950749324476</v>
      </c>
      <c r="H82" s="6">
        <f>H76*(1-Inputs!B22)</f>
        <v>20.704179882198218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152</v>
      </c>
      <c r="C83" s="6">
        <f>C77*(1-Inputs!B22)</f>
        <v>2280.5991097192846</v>
      </c>
      <c r="D83" s="6">
        <f>D77*(1-Inputs!B22)</f>
        <v>1607.9130533288269</v>
      </c>
      <c r="E83" s="6">
        <f>E77*(1-Inputs!B22)</f>
        <v>426.46710983803746</v>
      </c>
      <c r="F83" s="6">
        <f>F77*(1-Inputs!B22)</f>
        <v>665.64425255001242</v>
      </c>
      <c r="G83" s="6">
        <f>G77*(1-Inputs!B22)</f>
        <v>30.22344431908266</v>
      </c>
      <c r="H83" s="6">
        <f>H77*(1-Inputs!B22)</f>
        <v>20.220038162017406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153</v>
      </c>
      <c r="C84" s="6">
        <f>C78*(1-Inputs!B22)</f>
        <v>2323.1045678530427</v>
      </c>
      <c r="D84" s="6">
        <f>D78*(1-Inputs!B22)</f>
        <v>1630.3543277059787</v>
      </c>
      <c r="E84" s="6">
        <f>E78*(1-Inputs!B22)</f>
        <v>436.68388475502479</v>
      </c>
      <c r="F84" s="6">
        <f>F78*(1-Inputs!B22)</f>
        <v>680.25965101374436</v>
      </c>
      <c r="G84" s="6">
        <f>G78*(1-Inputs!B22)</f>
        <v>30.826606678143389</v>
      </c>
      <c r="H84" s="6">
        <f>H78*(1-Inputs!B22)</f>
        <v>20.016963689674483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154</v>
      </c>
      <c r="C85" s="6">
        <f>C79*(1-Inputs!B22)</f>
        <v>2365.6111304826773</v>
      </c>
      <c r="D85" s="6">
        <f>D79*(1-Inputs!B22)</f>
        <v>1652.0336533405152</v>
      </c>
      <c r="E85" s="6">
        <f>E79*(1-Inputs!B22)</f>
        <v>446.85744424978515</v>
      </c>
      <c r="F85" s="6">
        <f>F79*(1-Inputs!B22)</f>
        <v>696.10787045366192</v>
      </c>
      <c r="G85" s="6">
        <f>G79*(1-Inputs!B22)</f>
        <v>31.390650632753058</v>
      </c>
      <c r="H85" s="6">
        <f>H79*(1-Inputs!B22)</f>
        <v>20.082965808615473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155</v>
      </c>
      <c r="C87" s="6">
        <f t="shared" ref="C87:J87" si="33">C63*MAX(IF(ISBLANK(C26),C12,C26),0)</f>
        <v>2402.0567483637506</v>
      </c>
      <c r="D87" s="6">
        <f t="shared" si="33"/>
        <v>2230.4782125160732</v>
      </c>
      <c r="E87" s="6">
        <f t="shared" si="33"/>
        <v>227.15344392647694</v>
      </c>
      <c r="F87" s="6">
        <f t="shared" si="33"/>
        <v>268.52516176668223</v>
      </c>
      <c r="G87" s="6">
        <f t="shared" si="33"/>
        <v>21.830725991210507</v>
      </c>
      <c r="H87" s="6">
        <f t="shared" si="33"/>
        <v>9.9407434933209178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156</v>
      </c>
      <c r="C88" s="6">
        <f t="shared" ref="C88:J88" si="34">C64*MAX(IF(ISBLANK(C26),C12,C26),0)</f>
        <v>2448.461899380145</v>
      </c>
      <c r="D88" s="6">
        <f t="shared" si="34"/>
        <v>2264.5503168433488</v>
      </c>
      <c r="E88" s="6">
        <f t="shared" si="34"/>
        <v>232.89490503722095</v>
      </c>
      <c r="F88" s="6">
        <f t="shared" si="34"/>
        <v>273.70117081835616</v>
      </c>
      <c r="G88" s="6">
        <f t="shared" si="34"/>
        <v>22.338851305615009</v>
      </c>
      <c r="H88" s="6">
        <f t="shared" si="34"/>
        <v>9.57567659488857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157</v>
      </c>
      <c r="C89" s="6">
        <f t="shared" ref="C89:J89" si="35">C65*MAX(IF(ISBLANK(C26),C12,C26),0)</f>
        <v>2494.9297532677742</v>
      </c>
      <c r="D89" s="6">
        <f t="shared" si="35"/>
        <v>2297.6495117078989</v>
      </c>
      <c r="E89" s="6">
        <f t="shared" si="35"/>
        <v>238.62790026287675</v>
      </c>
      <c r="F89" s="6">
        <f t="shared" si="35"/>
        <v>279.34385790334301</v>
      </c>
      <c r="G89" s="6">
        <f t="shared" si="35"/>
        <v>22.821733118350963</v>
      </c>
      <c r="H89" s="6">
        <f t="shared" si="35"/>
        <v>9.3517612036524937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158</v>
      </c>
      <c r="C90" s="6">
        <f t="shared" ref="C90:J90" si="36">C66*MAX(IF(ISBLANK(C26),C12,C26),0)</f>
        <v>2541.4298732240795</v>
      </c>
      <c r="D90" s="6">
        <f t="shared" si="36"/>
        <v>2329.7172799295804</v>
      </c>
      <c r="E90" s="6">
        <f t="shared" si="36"/>
        <v>244.34465423910953</v>
      </c>
      <c r="F90" s="6">
        <f t="shared" si="36"/>
        <v>285.47734703963914</v>
      </c>
      <c r="G90" s="6">
        <f t="shared" si="36"/>
        <v>23.277181221492132</v>
      </c>
      <c r="H90" s="6">
        <f t="shared" si="36"/>
        <v>9.2578393249353628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159</v>
      </c>
      <c r="C91" s="6">
        <f t="shared" ref="C91:J91" si="37">C67*MAX(IF(ISBLANK(C26),C12,C26),0)</f>
        <v>2587.9312014767547</v>
      </c>
      <c r="D91" s="6">
        <f t="shared" si="37"/>
        <v>2360.6962509972177</v>
      </c>
      <c r="E91" s="6">
        <f t="shared" si="37"/>
        <v>250.03722720530169</v>
      </c>
      <c r="F91" s="6">
        <f t="shared" si="37"/>
        <v>292.12820106907839</v>
      </c>
      <c r="G91" s="6">
        <f t="shared" si="37"/>
        <v>23.703091004084108</v>
      </c>
      <c r="H91" s="6">
        <f t="shared" si="37"/>
        <v>9.2883652839036639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160</v>
      </c>
      <c r="C93" s="6">
        <f t="shared" ref="C93:J97" si="38">C81-C87</f>
        <v>-206.3522502156552</v>
      </c>
      <c r="D93" s="6">
        <f t="shared" si="38"/>
        <v>-669.57215839632454</v>
      </c>
      <c r="E93" s="6">
        <f t="shared" si="38"/>
        <v>178.8069346141873</v>
      </c>
      <c r="F93" s="6">
        <f t="shared" si="38"/>
        <v>371.33938344519686</v>
      </c>
      <c r="G93" s="6">
        <f t="shared" si="38"/>
        <v>7.0803005298189703</v>
      </c>
      <c r="H93" s="6">
        <f t="shared" si="38"/>
        <v>11.552770767422851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161</v>
      </c>
      <c r="C94" s="6">
        <f t="shared" si="38"/>
        <v>-210.33875359046215</v>
      </c>
      <c r="D94" s="6">
        <f t="shared" si="38"/>
        <v>-679.80033830299294</v>
      </c>
      <c r="E94" s="6">
        <f t="shared" si="38"/>
        <v>183.32640411318823</v>
      </c>
      <c r="F94" s="6">
        <f t="shared" si="38"/>
        <v>378.49720805019768</v>
      </c>
      <c r="G94" s="6">
        <f t="shared" si="38"/>
        <v>7.2450994437094671</v>
      </c>
      <c r="H94" s="6">
        <f t="shared" si="38"/>
        <v>11.128503287309648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162</v>
      </c>
      <c r="C95" s="6">
        <f t="shared" si="38"/>
        <v>-214.33064354848966</v>
      </c>
      <c r="D95" s="6">
        <f t="shared" si="38"/>
        <v>-689.73645837907202</v>
      </c>
      <c r="E95" s="6">
        <f t="shared" si="38"/>
        <v>187.83920957516071</v>
      </c>
      <c r="F95" s="6">
        <f t="shared" si="38"/>
        <v>386.30039464666942</v>
      </c>
      <c r="G95" s="6">
        <f t="shared" si="38"/>
        <v>7.4017112007316967</v>
      </c>
      <c r="H95" s="6">
        <f t="shared" si="38"/>
        <v>10.868276958364913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163</v>
      </c>
      <c r="C96" s="6">
        <f t="shared" si="38"/>
        <v>-218.32530537103685</v>
      </c>
      <c r="D96" s="6">
        <f t="shared" si="38"/>
        <v>-699.36295222360172</v>
      </c>
      <c r="E96" s="6">
        <f t="shared" si="38"/>
        <v>192.33923051591526</v>
      </c>
      <c r="F96" s="6">
        <f t="shared" si="38"/>
        <v>394.78230397410522</v>
      </c>
      <c r="G96" s="6">
        <f t="shared" si="38"/>
        <v>7.5494254566512566</v>
      </c>
      <c r="H96" s="6">
        <f t="shared" si="38"/>
        <v>10.759124364739121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164</v>
      </c>
      <c r="C97" s="6">
        <f t="shared" si="38"/>
        <v>-222.32007099407747</v>
      </c>
      <c r="D97" s="6">
        <f t="shared" si="38"/>
        <v>-708.66259765670247</v>
      </c>
      <c r="E97" s="6">
        <f t="shared" si="38"/>
        <v>196.82021704448346</v>
      </c>
      <c r="F97" s="6">
        <f t="shared" si="38"/>
        <v>403.97966938458353</v>
      </c>
      <c r="G97" s="6">
        <f t="shared" si="38"/>
        <v>7.68755962866895</v>
      </c>
      <c r="H97" s="6">
        <f t="shared" si="38"/>
        <v>10.794600524711809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165</v>
      </c>
      <c r="C99" s="6">
        <f t="shared" ref="C99:J99" si="39">C93/(((1+C16)*(1+C16+(C104-C16)*1/5)*(1+C16+(C104-C16)*2/5)*(1+C16+(C104-C16)*3/5)*(1+C16+(C104-C16)*4/5))*(1+C104)^1)</f>
        <v>-137.66465462427146</v>
      </c>
      <c r="D99" s="6">
        <f t="shared" si="39"/>
        <v>-446.69452276544604</v>
      </c>
      <c r="E99" s="6">
        <f t="shared" si="39"/>
        <v>118.21827223474484</v>
      </c>
      <c r="F99" s="6">
        <f t="shared" si="39"/>
        <v>242.22154606096476</v>
      </c>
      <c r="G99" s="6">
        <f t="shared" si="39"/>
        <v>4.7235110160171514</v>
      </c>
      <c r="H99" s="6">
        <f t="shared" si="39"/>
        <v>7.7278337924733931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166</v>
      </c>
      <c r="C100" s="6">
        <f t="shared" ref="C100:J100" si="40">C94/(((1+C16)*(1+C16+(C104-C16)*1/5)*(1+C16+(C104-C16)*2/5)*(1+C16+(C104-C16)*3/5)*(1+C16+(C104-C16)*4/5))*(1+C104)^2)</f>
        <v>-130.42423986898834</v>
      </c>
      <c r="D100" s="6">
        <f t="shared" si="40"/>
        <v>-421.52214402904679</v>
      </c>
      <c r="E100" s="6">
        <f t="shared" si="40"/>
        <v>112.48707308478151</v>
      </c>
      <c r="F100" s="6">
        <f t="shared" si="40"/>
        <v>228.61827938366645</v>
      </c>
      <c r="G100" s="6">
        <f t="shared" si="40"/>
        <v>4.4924512083059422</v>
      </c>
      <c r="H100" s="6">
        <f t="shared" si="40"/>
        <v>6.9188537873530569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167</v>
      </c>
      <c r="C101" s="6">
        <f t="shared" ref="C101:J101" si="41">C95/(((1+C16)*(1+C16+(C104-C16)*1/5)*(1+C16+(C104-C16)*2/5)*(1+C16+(C104-C16)*3/5)*(1+C16+(C104-C16)*4/5))*(1+C104)^3)</f>
        <v>-123.52335072223637</v>
      </c>
      <c r="D101" s="6">
        <f t="shared" si="41"/>
        <v>-397.5099269227743</v>
      </c>
      <c r="E101" s="6">
        <f t="shared" si="41"/>
        <v>106.96487680853687</v>
      </c>
      <c r="F101" s="6">
        <f t="shared" si="41"/>
        <v>216.06276774967179</v>
      </c>
      <c r="G101" s="6">
        <f t="shared" si="41"/>
        <v>4.2657650509309519</v>
      </c>
      <c r="H101" s="6">
        <f t="shared" si="41"/>
        <v>6.2803503185497069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168</v>
      </c>
      <c r="C102" s="6">
        <f t="shared" ref="C102:J102" si="42">C96/(((1+C16)*(1+C16+(C104-C16)*1/5)*(1+C16+(C104-C16)*2/5)*(1+C16+(C104-C16)*3/5)*(1+C16+(C104-C16)*4/5))*(1+C104)^4)</f>
        <v>-116.94849841938247</v>
      </c>
      <c r="D102" s="6">
        <f t="shared" si="42"/>
        <v>-374.62192929810868</v>
      </c>
      <c r="E102" s="6">
        <f t="shared" si="42"/>
        <v>101.64831039779902</v>
      </c>
      <c r="F102" s="6">
        <f t="shared" si="42"/>
        <v>204.4649978285124</v>
      </c>
      <c r="G102" s="6">
        <f t="shared" si="42"/>
        <v>4.0439378732757314</v>
      </c>
      <c r="H102" s="6">
        <f t="shared" si="42"/>
        <v>5.7786431688621693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169</v>
      </c>
      <c r="C103" s="6">
        <f t="shared" ref="C103:J103" si="43">C97/(((1+C16)*(1+C16+(C104-C16)*1/5)*(1+C16+(C104-C16)*2/5)*(1+C16+(C104-C16)*3/5)*(1+C16+(C104-C16)*4/5))*(1+C104)^5)</f>
        <v>-110.68659404700934</v>
      </c>
      <c r="D103" s="6">
        <f t="shared" si="43"/>
        <v>-352.82216721321635</v>
      </c>
      <c r="E103" s="6">
        <f t="shared" si="43"/>
        <v>96.533786817154436</v>
      </c>
      <c r="F103" s="6">
        <f t="shared" si="43"/>
        <v>193.74357808499985</v>
      </c>
      <c r="G103" s="6">
        <f t="shared" si="43"/>
        <v>3.8274087806193884</v>
      </c>
      <c r="H103" s="6">
        <f t="shared" si="43"/>
        <v>5.3886664573149705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170</v>
      </c>
      <c r="C104" s="11">
        <f>MAX((Inputs!B18+((1+(1-Inputs!B22)*(Inputs!B36/(1-Inputs!B36)))/(1+(1-Inputs!B22)*0.25))*Inputs!B19+IF(ISBLANK(C17),Inputs!B24,C17)+Inputs!B25+Inputs!B39)*(1-Inputs!B36)+Inputs!B38*Inputs!B36,C15)</f>
        <v>7.5905734413157899E-2</v>
      </c>
      <c r="D104" s="11">
        <f>MAX((Inputs!B18+((1+(1-Inputs!B22)*(Inputs!B36/(1-Inputs!B36)))/(1+(1-Inputs!B22)*0.25))*Inputs!B19+IF(ISBLANK(D17),Inputs!B24,D17)+Inputs!B25+Inputs!B39)*(1-Inputs!B36)+Inputs!B38*Inputs!B36,D15)</f>
        <v>7.5905734413157899E-2</v>
      </c>
      <c r="E104" s="11">
        <f>MAX((Inputs!B18+((1+(1-Inputs!B22)*(Inputs!B36/(1-Inputs!B36)))/(1+(1-Inputs!B22)*0.25))*Inputs!B19+IF(ISBLANK(E17),Inputs!B24,E17)+Inputs!B25+Inputs!B39)*(1-Inputs!B36)+Inputs!B38*Inputs!B36,E15)</f>
        <v>7.75133344131579E-2</v>
      </c>
      <c r="F104" s="11">
        <f>MAX((Inputs!B18+((1+(1-Inputs!B22)*(Inputs!B36/(1-Inputs!B36)))/(1+(1-Inputs!B22)*0.25))*Inputs!B19+IF(ISBLANK(F17),Inputs!B24,F17)+Inputs!B25+Inputs!B39)*(1-Inputs!B36)+Inputs!B38*Inputs!B36,F15)</f>
        <v>7.9924734413157894E-2</v>
      </c>
      <c r="G104" s="11">
        <f>MAX((Inputs!B18+((1+(1-Inputs!B22)*(Inputs!B36/(1-Inputs!B36)))/(1+(1-Inputs!B22)*0.25))*Inputs!B19+IF(ISBLANK(G17),Inputs!B24,G17)+Inputs!B25+Inputs!B39)*(1-Inputs!B36)+Inputs!B38*Inputs!B36,G15)</f>
        <v>7.5905734413157899E-2</v>
      </c>
      <c r="H104" s="11">
        <f>MAX((Inputs!B18+((1+(1-Inputs!B22)*(Inputs!B36/(1-Inputs!B36)))/(1+(1-Inputs!B22)*0.25))*Inputs!B19+IF(ISBLANK(H17),Inputs!B24,H17)+Inputs!B25+Inputs!B39)*(1-Inputs!B36)+Inputs!B38*Inputs!B36,H15)</f>
        <v>7.5905734413157899E-2</v>
      </c>
      <c r="I104" s="11">
        <f>MAX((Inputs!B18+((1+(1-Inputs!B22)*(Inputs!B36/(1-Inputs!B36)))/(1+(1-Inputs!B22)*0.25))*Inputs!B19+IF(ISBLANK(I17),Inputs!B24,I17)+Inputs!B25+Inputs!B39)*(1-Inputs!B36)+Inputs!B38*Inputs!B36,I15)</f>
        <v>7.5905734413157899E-2</v>
      </c>
      <c r="J104" s="11">
        <f>MAX((Inputs!B18+((1+(1-Inputs!B22)*(Inputs!B36/(1-Inputs!B36)))/(1+(1-Inputs!B22)*0.25))*Inputs!B19+IF(ISBLANK(J17),Inputs!B24,J17)+Inputs!B25+Inputs!B39)*(1-Inputs!B36)+Inputs!B38*Inputs!B36,J15)</f>
        <v>7.5905734413157899E-2</v>
      </c>
    </row>
    <row r="105" spans="1:11" x14ac:dyDescent="0.25">
      <c r="A105" s="4" t="s">
        <v>171</v>
      </c>
      <c r="C105" s="6">
        <f t="shared" ref="C105:J105" si="44">SUM(C57:C61,C99:C103)</f>
        <v>-10193.89059807458</v>
      </c>
      <c r="D105" s="6">
        <f t="shared" si="44"/>
        <v>-8935.4208402944842</v>
      </c>
      <c r="E105" s="6">
        <f t="shared" si="44"/>
        <v>1889.2910814872625</v>
      </c>
      <c r="F105" s="6">
        <f t="shared" si="44"/>
        <v>3487.893729249754</v>
      </c>
      <c r="G105" s="6">
        <f t="shared" si="44"/>
        <v>48.382911257188965</v>
      </c>
      <c r="H105" s="6">
        <f t="shared" si="44"/>
        <v>-261.27636246184795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172</v>
      </c>
      <c r="C106" s="6">
        <f t="shared" ref="C106:J106" si="45">IF(C5=0,0,C97*(1+C13)/(C104-C13))</f>
        <v>-3929.771197910818</v>
      </c>
      <c r="D106" s="6">
        <f t="shared" si="45"/>
        <v>-11469.477169269703</v>
      </c>
      <c r="E106" s="6">
        <f t="shared" si="45"/>
        <v>3714.8720841528902</v>
      </c>
      <c r="F106" s="6">
        <f t="shared" si="45"/>
        <v>7300.1961020623376</v>
      </c>
      <c r="G106" s="6">
        <f t="shared" si="45"/>
        <v>135.88674327011177</v>
      </c>
      <c r="H106" s="6">
        <f t="shared" si="45"/>
        <v>149.15891140486545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173</v>
      </c>
      <c r="C107" s="6">
        <f t="shared" ref="C107:J107" si="46">C106/(((1+C16)*(1+C16+(C104-C16)*1/5)*(1+C16+(C104-C16)*2/5)*(1+C16+(C104-C16)*3/5)*(1+C16+(C104-C16)*4/5))*(1+C104)^5)</f>
        <v>-1956.5169592464363</v>
      </c>
      <c r="D107" s="6">
        <f t="shared" si="46"/>
        <v>-5710.3137727956955</v>
      </c>
      <c r="E107" s="6">
        <f t="shared" si="46"/>
        <v>1822.0215138954118</v>
      </c>
      <c r="F107" s="6">
        <f t="shared" si="46"/>
        <v>3501.0824076626177</v>
      </c>
      <c r="G107" s="6">
        <f t="shared" si="46"/>
        <v>67.653994178104242</v>
      </c>
      <c r="H107" s="6">
        <f t="shared" si="46"/>
        <v>74.460154487140926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174</v>
      </c>
      <c r="C109" s="20">
        <f t="shared" ref="C109:J109" si="47">C105+C107</f>
        <v>-12150.407557321018</v>
      </c>
      <c r="D109" s="20">
        <f t="shared" si="47"/>
        <v>-14645.734613090179</v>
      </c>
      <c r="E109" s="20">
        <f t="shared" si="47"/>
        <v>3711.3125953826743</v>
      </c>
      <c r="F109" s="20">
        <f t="shared" si="47"/>
        <v>6988.9761369123717</v>
      </c>
      <c r="G109" s="20">
        <f t="shared" si="47"/>
        <v>116.03690543529321</v>
      </c>
      <c r="H109" s="20">
        <f t="shared" si="47"/>
        <v>-186.81620797470703</v>
      </c>
      <c r="I109" s="20">
        <f t="shared" si="47"/>
        <v>0</v>
      </c>
      <c r="J109" s="20">
        <f t="shared" si="47"/>
        <v>0</v>
      </c>
      <c r="K109" s="20">
        <f>SUM(C109:J109)</f>
        <v>-16166.632740655563</v>
      </c>
    </row>
    <row r="110" spans="1:11" x14ac:dyDescent="0.25">
      <c r="A110" s="4" t="s">
        <v>175</v>
      </c>
      <c r="K110" s="11">
        <f>IFERROR(SUMPRODUCT(C109:J109,C16:J16)/SUM(C109:J109),0)</f>
        <v>6.1569287758387069E-2</v>
      </c>
    </row>
    <row r="111" spans="1:11" x14ac:dyDescent="0.25">
      <c r="A111" s="4" t="s">
        <v>176</v>
      </c>
      <c r="K111" s="5">
        <v>-6694</v>
      </c>
    </row>
    <row r="112" spans="1:11" x14ac:dyDescent="0.25">
      <c r="A112" s="4" t="s">
        <v>177</v>
      </c>
      <c r="K112" s="5">
        <v>0</v>
      </c>
    </row>
    <row r="113" spans="1:11" x14ac:dyDescent="0.25">
      <c r="A113" s="4" t="s">
        <v>178</v>
      </c>
      <c r="K113" s="5">
        <v>0</v>
      </c>
    </row>
    <row r="114" spans="1:11" x14ac:dyDescent="0.25">
      <c r="A114" s="4" t="s">
        <v>179</v>
      </c>
      <c r="K114" s="5">
        <v>0</v>
      </c>
    </row>
    <row r="115" spans="1:11" x14ac:dyDescent="0.25">
      <c r="A115" s="4" t="s">
        <v>180</v>
      </c>
      <c r="K115" s="5">
        <v>0</v>
      </c>
    </row>
    <row r="116" spans="1:11" x14ac:dyDescent="0.25">
      <c r="A116" s="4" t="s">
        <v>181</v>
      </c>
      <c r="K116" s="5">
        <v>-220</v>
      </c>
    </row>
    <row r="117" spans="1:11" x14ac:dyDescent="0.25">
      <c r="A117" s="4" t="s">
        <v>182</v>
      </c>
      <c r="K117" s="5">
        <v>0</v>
      </c>
    </row>
    <row r="118" spans="1:11" x14ac:dyDescent="0.25">
      <c r="A118" s="4" t="s">
        <v>183</v>
      </c>
      <c r="K118" s="5">
        <v>-4000</v>
      </c>
    </row>
    <row r="119" spans="1:11" x14ac:dyDescent="0.25">
      <c r="A119" s="4" t="s">
        <v>184</v>
      </c>
      <c r="K119" s="20">
        <f>K109+K113+K114+K115+K116+K117+K118-K111-K112</f>
        <v>-13692.632740655565</v>
      </c>
    </row>
    <row r="120" spans="1:11" x14ac:dyDescent="0.25">
      <c r="A120" s="4" t="s">
        <v>185</v>
      </c>
      <c r="K120" s="6">
        <f>Inputs!B11</f>
        <v>2886.7</v>
      </c>
    </row>
    <row r="122" spans="1:11" ht="15.75" customHeight="1" x14ac:dyDescent="0.25">
      <c r="A122" s="4" t="s">
        <v>186</v>
      </c>
      <c r="K122" s="21">
        <f>K119/K120</f>
        <v>-4.7433514880852066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189</v>
      </c>
    </row>
    <row r="2" spans="1:5" x14ac:dyDescent="0.25">
      <c r="A2" s="2" t="s">
        <v>190</v>
      </c>
    </row>
    <row r="3" spans="1:5" x14ac:dyDescent="0.25">
      <c r="A3" s="2" t="s">
        <v>191</v>
      </c>
    </row>
    <row r="4" spans="1:5" x14ac:dyDescent="0.25">
      <c r="A4" s="22" t="s">
        <v>192</v>
      </c>
      <c r="B4" s="22" t="s">
        <v>193</v>
      </c>
      <c r="C4" s="22" t="s">
        <v>194</v>
      </c>
      <c r="D4" s="22" t="s">
        <v>195</v>
      </c>
      <c r="E4" s="22" t="s">
        <v>196</v>
      </c>
    </row>
    <row r="5" spans="1:5" ht="30" customHeight="1" x14ac:dyDescent="0.25">
      <c r="A5" s="23" t="s">
        <v>197</v>
      </c>
      <c r="B5" s="5">
        <v>-800</v>
      </c>
      <c r="C5" s="7">
        <v>0.4</v>
      </c>
      <c r="D5" s="6">
        <f>IF(ISNUMBER(B5),B5*C5,"")</f>
        <v>-320</v>
      </c>
      <c r="E5" s="24" t="s">
        <v>198</v>
      </c>
    </row>
    <row r="6" spans="1:5" ht="30" customHeight="1" x14ac:dyDescent="0.25">
      <c r="A6" s="23" t="s">
        <v>199</v>
      </c>
      <c r="B6" s="5">
        <v>500</v>
      </c>
      <c r="C6" s="7">
        <v>0.2</v>
      </c>
      <c r="D6" s="6">
        <f>IF(ISNUMBER(B6),B6*C6,"")</f>
        <v>100</v>
      </c>
      <c r="E6" s="24" t="s">
        <v>200</v>
      </c>
    </row>
    <row r="7" spans="1:5" ht="30" customHeight="1" x14ac:dyDescent="0.25">
      <c r="A7" s="23"/>
      <c r="B7" s="5"/>
      <c r="C7" s="7"/>
      <c r="D7" s="6" t="str">
        <f>IF(ISNUMBER(B7),B7*C7,"")</f>
        <v/>
      </c>
      <c r="E7" s="24"/>
    </row>
    <row r="8" spans="1:5" ht="30" customHeight="1" x14ac:dyDescent="0.25">
      <c r="A8" s="23"/>
      <c r="B8" s="5"/>
      <c r="C8" s="7"/>
      <c r="D8" s="6" t="str">
        <f>IF(ISNUMBER(B8),B8*C8,"")</f>
        <v/>
      </c>
      <c r="E8" s="24"/>
    </row>
    <row r="9" spans="1:5" ht="30" customHeight="1" x14ac:dyDescent="0.25">
      <c r="A9" s="23"/>
      <c r="B9" s="5"/>
      <c r="C9" s="7"/>
      <c r="D9" s="6" t="str">
        <f>IF(ISNUMBER(B9),B9*C9,"")</f>
        <v/>
      </c>
      <c r="E9" s="24"/>
    </row>
    <row r="11" spans="1:5" x14ac:dyDescent="0.25">
      <c r="C11" s="4" t="s">
        <v>201</v>
      </c>
      <c r="D11" s="20">
        <f>SUM(D5:D9)</f>
        <v>-220</v>
      </c>
    </row>
    <row r="12" spans="1:5" x14ac:dyDescent="0.25">
      <c r="C12" s="4" t="s">
        <v>202</v>
      </c>
      <c r="D12" s="20">
        <f>IF(Inputs!B11&gt;0,D11/Inputs!B11,"")</f>
        <v>-7.621159109017217E-2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203</v>
      </c>
    </row>
    <row r="2" spans="1:12" x14ac:dyDescent="0.25">
      <c r="A2" s="2" t="s">
        <v>204</v>
      </c>
    </row>
    <row r="4" spans="1:12" x14ac:dyDescent="0.25">
      <c r="A4" s="3" t="s">
        <v>205</v>
      </c>
    </row>
    <row r="5" spans="1:12" ht="30" customHeight="1" x14ac:dyDescent="0.25">
      <c r="A5" s="25" t="s">
        <v>206</v>
      </c>
      <c r="B5" s="25" t="s">
        <v>207</v>
      </c>
      <c r="C5" s="25" t="s">
        <v>208</v>
      </c>
      <c r="D5" s="25" t="s">
        <v>209</v>
      </c>
      <c r="E5" s="25" t="s">
        <v>210</v>
      </c>
      <c r="F5" s="25" t="s">
        <v>211</v>
      </c>
      <c r="G5" s="25" t="s">
        <v>212</v>
      </c>
      <c r="H5" s="25" t="s">
        <v>213</v>
      </c>
      <c r="I5" s="25" t="s">
        <v>214</v>
      </c>
      <c r="J5" s="25" t="s">
        <v>215</v>
      </c>
      <c r="K5" s="25" t="s">
        <v>216</v>
      </c>
      <c r="L5" s="25" t="s">
        <v>217</v>
      </c>
    </row>
    <row r="6" spans="1:12" x14ac:dyDescent="0.25">
      <c r="A6" s="35" t="s">
        <v>55</v>
      </c>
      <c r="B6" s="36">
        <v>7.0000000000000007E-2</v>
      </c>
      <c r="C6" s="36">
        <v>0.05</v>
      </c>
      <c r="D6" s="36">
        <v>0.02</v>
      </c>
      <c r="E6" s="36">
        <v>4.0000000000000001E-3</v>
      </c>
      <c r="F6" s="36">
        <v>-1.6E-2</v>
      </c>
      <c r="G6" s="36">
        <v>-4.1000000000000002E-2</v>
      </c>
      <c r="H6" s="36">
        <v>2.946846051964622E-2</v>
      </c>
      <c r="I6" s="36">
        <v>2.5000000000000001E-2</v>
      </c>
      <c r="J6" s="36">
        <v>1.8297309220530671E-2</v>
      </c>
      <c r="K6" s="37">
        <v>1.37</v>
      </c>
      <c r="L6" s="37">
        <v>2.5</v>
      </c>
    </row>
    <row r="7" spans="1:12" x14ac:dyDescent="0.25">
      <c r="A7" s="35" t="s">
        <v>56</v>
      </c>
      <c r="B7" s="36">
        <v>4.3405381558938673E-2</v>
      </c>
      <c r="C7" s="36">
        <v>0.03</v>
      </c>
      <c r="D7" s="36">
        <v>1.6594618441061328E-2</v>
      </c>
      <c r="E7" s="36">
        <v>1.9E-2</v>
      </c>
      <c r="F7" s="36">
        <v>4.0000000000000001E-3</v>
      </c>
      <c r="G7" s="36">
        <v>-1.0999999999999999E-2</v>
      </c>
      <c r="H7" s="36">
        <v>2.4468460519646219E-2</v>
      </c>
      <c r="I7" s="36">
        <v>0.02</v>
      </c>
      <c r="J7" s="36">
        <v>1.329730922053067E-2</v>
      </c>
      <c r="K7" s="37">
        <v>1.37</v>
      </c>
      <c r="L7" s="37">
        <v>2.5</v>
      </c>
    </row>
    <row r="8" spans="1:12" x14ac:dyDescent="0.25">
      <c r="A8" s="35" t="s">
        <v>57</v>
      </c>
      <c r="B8" s="36">
        <v>5.3405381558938668E-2</v>
      </c>
      <c r="C8" s="36">
        <v>0.04</v>
      </c>
      <c r="D8" s="36">
        <v>2.659461844106133E-2</v>
      </c>
      <c r="E8" s="36">
        <v>0.1323423025982311</v>
      </c>
      <c r="F8" s="36">
        <v>0.11</v>
      </c>
      <c r="G8" s="36">
        <v>8.7657697401768889E-2</v>
      </c>
      <c r="H8" s="36">
        <v>3.4468460519646221E-2</v>
      </c>
      <c r="I8" s="36">
        <v>0.03</v>
      </c>
      <c r="J8" s="36">
        <v>2.3297309220530669E-2</v>
      </c>
      <c r="K8" s="37">
        <v>1.37</v>
      </c>
      <c r="L8" s="37">
        <v>2.5</v>
      </c>
    </row>
    <row r="9" spans="1:12" x14ac:dyDescent="0.25">
      <c r="A9" s="35" t="s">
        <v>58</v>
      </c>
      <c r="B9" s="36">
        <v>4.3405381558938673E-2</v>
      </c>
      <c r="C9" s="36">
        <v>0.03</v>
      </c>
      <c r="D9" s="36">
        <v>1.6594618441061328E-2</v>
      </c>
      <c r="E9" s="36">
        <v>0.12734230259823109</v>
      </c>
      <c r="F9" s="36">
        <v>0.105</v>
      </c>
      <c r="G9" s="36">
        <v>8.2657697401768884E-2</v>
      </c>
      <c r="H9" s="36">
        <v>3.4468460519646221E-2</v>
      </c>
      <c r="I9" s="36">
        <v>0.03</v>
      </c>
      <c r="J9" s="36">
        <v>2.3297309220530669E-2</v>
      </c>
      <c r="K9" s="37">
        <v>1.37</v>
      </c>
      <c r="L9" s="37">
        <v>2.5</v>
      </c>
    </row>
    <row r="10" spans="1:12" x14ac:dyDescent="0.25">
      <c r="A10" s="35" t="s">
        <v>59</v>
      </c>
      <c r="B10" s="36">
        <v>5.3405381558938668E-2</v>
      </c>
      <c r="C10" s="36">
        <v>0.04</v>
      </c>
      <c r="D10" s="36">
        <v>2.659461844106133E-2</v>
      </c>
      <c r="E10" s="36">
        <v>6.2342302598231113E-2</v>
      </c>
      <c r="F10" s="36">
        <v>0.04</v>
      </c>
      <c r="G10" s="36">
        <v>1.7657697401768889E-2</v>
      </c>
      <c r="H10" s="36">
        <v>2.946846051964622E-2</v>
      </c>
      <c r="I10" s="36">
        <v>2.5000000000000001E-2</v>
      </c>
      <c r="J10" s="36">
        <v>1.8297309220530671E-2</v>
      </c>
      <c r="K10" s="37">
        <v>1.37</v>
      </c>
      <c r="L10" s="37">
        <v>2.5</v>
      </c>
    </row>
    <row r="11" spans="1:12" x14ac:dyDescent="0.25">
      <c r="A11" s="35" t="s">
        <v>60</v>
      </c>
      <c r="B11" s="36">
        <v>-3.6594618441061343E-2</v>
      </c>
      <c r="C11" s="36">
        <v>-0.05</v>
      </c>
      <c r="D11" s="36">
        <v>-6.340538155893867E-2</v>
      </c>
      <c r="E11" s="36">
        <v>-0.27765769740176888</v>
      </c>
      <c r="F11" s="36">
        <v>-0.3</v>
      </c>
      <c r="G11" s="36">
        <v>-0.3</v>
      </c>
      <c r="H11" s="36">
        <v>1.4468460519646221E-2</v>
      </c>
      <c r="I11" s="36">
        <v>0.01</v>
      </c>
      <c r="J11" s="36">
        <v>3.2973092205306679E-3</v>
      </c>
      <c r="K11" s="37">
        <v>1.31</v>
      </c>
      <c r="L11" s="37">
        <v>2.5</v>
      </c>
    </row>
    <row r="12" spans="1:1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25">
      <c r="A15" s="3" t="s">
        <v>218</v>
      </c>
    </row>
    <row r="16" spans="1:12" x14ac:dyDescent="0.25">
      <c r="A16" s="22" t="s">
        <v>219</v>
      </c>
      <c r="B16" s="22" t="s">
        <v>220</v>
      </c>
      <c r="C16" s="22" t="s">
        <v>221</v>
      </c>
      <c r="D16" s="22" t="s">
        <v>222</v>
      </c>
      <c r="E16" s="22" t="s">
        <v>223</v>
      </c>
    </row>
    <row r="17" spans="1:5" x14ac:dyDescent="0.25">
      <c r="A17" s="4" t="s">
        <v>224</v>
      </c>
      <c r="B17" s="6">
        <f>'DCF Bull'!K122</f>
        <v>35.082410722140075</v>
      </c>
      <c r="C17" s="38">
        <v>0.15</v>
      </c>
      <c r="D17" s="27" t="s">
        <v>225</v>
      </c>
      <c r="E17" s="6">
        <f>MAX(B17,0)</f>
        <v>35.082410722140075</v>
      </c>
    </row>
    <row r="18" spans="1:5" x14ac:dyDescent="0.25">
      <c r="A18" s="4" t="s">
        <v>226</v>
      </c>
      <c r="B18" s="6">
        <f>'DCF Base'!K122</f>
        <v>13.377900549834814</v>
      </c>
      <c r="C18" s="38">
        <v>0.65</v>
      </c>
      <c r="D18" s="27" t="s">
        <v>227</v>
      </c>
      <c r="E18" s="6">
        <f>MAX(B18,0)</f>
        <v>13.377900549834814</v>
      </c>
    </row>
    <row r="19" spans="1:5" x14ac:dyDescent="0.25">
      <c r="A19" s="4" t="s">
        <v>228</v>
      </c>
      <c r="B19" s="6">
        <f>'DCF Bear'!K122</f>
        <v>-4.7433514880852066</v>
      </c>
      <c r="C19" s="38">
        <v>0.2</v>
      </c>
      <c r="D19" s="27" t="s">
        <v>229</v>
      </c>
      <c r="E19" s="6">
        <f>MAX(B19,0)</f>
        <v>0</v>
      </c>
    </row>
    <row r="20" spans="1:5" x14ac:dyDescent="0.25">
      <c r="A20" s="2" t="s">
        <v>230</v>
      </c>
    </row>
    <row r="21" spans="1:5" ht="15.75" customHeight="1" x14ac:dyDescent="0.25">
      <c r="A21" s="19" t="s">
        <v>231</v>
      </c>
      <c r="B21" s="21">
        <f>MAX(0,B17*C17+B18*C18+B19*C19)</f>
        <v>13.009326668096598</v>
      </c>
      <c r="D21" s="2" t="s">
        <v>232</v>
      </c>
      <c r="E21" s="6">
        <f>B17*C17+B18*C18+B19*C19</f>
        <v>13.009326668096598</v>
      </c>
    </row>
    <row r="22" spans="1:5" x14ac:dyDescent="0.25">
      <c r="A22" s="2" t="s">
        <v>233</v>
      </c>
      <c r="B22" s="39" t="s">
        <v>234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5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8" t="s">
        <v>235</v>
      </c>
    </row>
    <row r="2" spans="1:5" x14ac:dyDescent="0.25">
      <c r="A2" s="2" t="s">
        <v>236</v>
      </c>
    </row>
    <row r="4" spans="1:5" x14ac:dyDescent="0.25">
      <c r="A4" s="4" t="s">
        <v>237</v>
      </c>
      <c r="B4" s="40">
        <v>5.07</v>
      </c>
    </row>
    <row r="5" spans="1:5" x14ac:dyDescent="0.25">
      <c r="A5" s="4" t="s">
        <v>238</v>
      </c>
      <c r="B5" s="40">
        <v>13.01</v>
      </c>
    </row>
    <row r="6" spans="1:5" x14ac:dyDescent="0.25">
      <c r="A6" s="4" t="s">
        <v>239</v>
      </c>
      <c r="B6" s="29">
        <f>(B5-B4)/B4</f>
        <v>1.5660749506903351</v>
      </c>
    </row>
    <row r="7" spans="1:5" x14ac:dyDescent="0.25">
      <c r="A7" s="4" t="s">
        <v>240</v>
      </c>
      <c r="B7" s="41" t="s">
        <v>241</v>
      </c>
    </row>
    <row r="9" spans="1:5" x14ac:dyDescent="0.25">
      <c r="B9" s="31" t="s">
        <v>226</v>
      </c>
      <c r="C9" s="31" t="s">
        <v>242</v>
      </c>
      <c r="D9" s="31" t="s">
        <v>243</v>
      </c>
      <c r="E9" s="31" t="s">
        <v>244</v>
      </c>
    </row>
    <row r="10" spans="1:5" x14ac:dyDescent="0.25">
      <c r="A10" t="s">
        <v>245</v>
      </c>
      <c r="B10" s="42">
        <v>147235</v>
      </c>
      <c r="C10" s="6">
        <f>B10</f>
        <v>147235</v>
      </c>
      <c r="D10" s="6">
        <f>B10</f>
        <v>147235</v>
      </c>
      <c r="E10" s="6">
        <f t="shared" ref="E10:E15" si="0">B10</f>
        <v>147235</v>
      </c>
    </row>
    <row r="11" spans="1:5" x14ac:dyDescent="0.25">
      <c r="A11" t="s">
        <v>246</v>
      </c>
      <c r="B11" s="43">
        <v>3.8672734064590618E-2</v>
      </c>
      <c r="C11" s="44">
        <v>-5.0976562499999989E-2</v>
      </c>
      <c r="D11" s="11">
        <f>B11</f>
        <v>3.8672734064590618E-2</v>
      </c>
      <c r="E11" s="11">
        <f t="shared" si="0"/>
        <v>3.8672734064590618E-2</v>
      </c>
    </row>
    <row r="12" spans="1:5" x14ac:dyDescent="0.25">
      <c r="A12" t="s">
        <v>247</v>
      </c>
      <c r="B12" s="43">
        <v>1.277749855672904E-2</v>
      </c>
      <c r="C12" s="11">
        <f t="shared" ref="C12:C20" si="1">B12</f>
        <v>1.277749855672904E-2</v>
      </c>
      <c r="D12" s="11">
        <f>B12</f>
        <v>1.277749855672904E-2</v>
      </c>
      <c r="E12" s="11">
        <f t="shared" si="0"/>
        <v>1.277749855672904E-2</v>
      </c>
    </row>
    <row r="13" spans="1:5" x14ac:dyDescent="0.25">
      <c r="A13" t="s">
        <v>248</v>
      </c>
      <c r="B13" s="43">
        <v>6.1712670221075162E-2</v>
      </c>
      <c r="C13" s="11">
        <f t="shared" si="1"/>
        <v>6.1712670221075162E-2</v>
      </c>
      <c r="D13" s="44">
        <v>5.322456359863284E-2</v>
      </c>
      <c r="E13" s="11">
        <f t="shared" si="0"/>
        <v>6.1712670221075162E-2</v>
      </c>
    </row>
    <row r="14" spans="1:5" x14ac:dyDescent="0.25">
      <c r="A14" t="s">
        <v>249</v>
      </c>
      <c r="B14" s="43">
        <v>3.1320949502496011E-2</v>
      </c>
      <c r="C14" s="11">
        <f t="shared" si="1"/>
        <v>3.1320949502496011E-2</v>
      </c>
      <c r="D14" s="11">
        <f t="shared" ref="D14:D20" si="2">B14</f>
        <v>3.1320949502496011E-2</v>
      </c>
      <c r="E14" s="11">
        <f t="shared" si="0"/>
        <v>3.1320949502496011E-2</v>
      </c>
    </row>
    <row r="15" spans="1:5" x14ac:dyDescent="0.25">
      <c r="A15" t="s">
        <v>73</v>
      </c>
      <c r="B15" s="43">
        <v>2.3843855061636159E-2</v>
      </c>
      <c r="C15" s="11">
        <f t="shared" si="1"/>
        <v>2.3843855061636159E-2</v>
      </c>
      <c r="D15" s="11">
        <f t="shared" si="2"/>
        <v>2.3843855061636159E-2</v>
      </c>
      <c r="E15" s="11">
        <f t="shared" si="0"/>
        <v>2.3843855061636159E-2</v>
      </c>
    </row>
    <row r="16" spans="1:5" x14ac:dyDescent="0.25">
      <c r="A16" t="s">
        <v>250</v>
      </c>
      <c r="B16" s="43">
        <v>6.5601270783229707E-2</v>
      </c>
      <c r="C16" s="11">
        <f t="shared" si="1"/>
        <v>6.5601270783229707E-2</v>
      </c>
      <c r="D16" s="11">
        <f t="shared" si="2"/>
        <v>6.5601270783229707E-2</v>
      </c>
      <c r="E16" s="44">
        <v>9.2819824218749986E-2</v>
      </c>
    </row>
    <row r="17" spans="1:5" x14ac:dyDescent="0.25">
      <c r="A17" t="s">
        <v>251</v>
      </c>
      <c r="B17" s="43">
        <v>0.25</v>
      </c>
      <c r="C17" s="11">
        <f t="shared" si="1"/>
        <v>0.25</v>
      </c>
      <c r="D17" s="11">
        <f t="shared" si="2"/>
        <v>0.25</v>
      </c>
      <c r="E17" s="11">
        <f>B17</f>
        <v>0.25</v>
      </c>
    </row>
    <row r="18" spans="1:5" x14ac:dyDescent="0.25">
      <c r="A18" t="s">
        <v>252</v>
      </c>
      <c r="B18" s="42">
        <v>-10091.6</v>
      </c>
      <c r="C18" s="6">
        <f t="shared" si="1"/>
        <v>-10091.6</v>
      </c>
      <c r="D18" s="6">
        <f t="shared" si="2"/>
        <v>-10091.6</v>
      </c>
      <c r="E18" s="6">
        <f>B18</f>
        <v>-10091.6</v>
      </c>
    </row>
    <row r="19" spans="1:5" x14ac:dyDescent="0.25">
      <c r="A19" t="s">
        <v>253</v>
      </c>
      <c r="B19" s="42">
        <v>1412</v>
      </c>
      <c r="C19" s="6">
        <f t="shared" si="1"/>
        <v>1412</v>
      </c>
      <c r="D19" s="6">
        <f t="shared" si="2"/>
        <v>1412</v>
      </c>
      <c r="E19" s="6">
        <f>B19</f>
        <v>1412</v>
      </c>
    </row>
    <row r="20" spans="1:5" x14ac:dyDescent="0.25">
      <c r="A20" t="s">
        <v>254</v>
      </c>
      <c r="B20" s="40">
        <v>2886.7</v>
      </c>
      <c r="C20" s="6">
        <f t="shared" si="1"/>
        <v>2886.7</v>
      </c>
      <c r="D20" s="6">
        <f t="shared" si="2"/>
        <v>2886.7</v>
      </c>
      <c r="E20" s="6">
        <f>B20</f>
        <v>2886.7</v>
      </c>
    </row>
    <row r="22" spans="1:5" x14ac:dyDescent="0.25">
      <c r="A22" t="s">
        <v>255</v>
      </c>
      <c r="B22" s="6">
        <f>B10*(1+B11)^1</f>
        <v>152928.98000000001</v>
      </c>
      <c r="C22" s="6">
        <f>C10*(1+C11)^1</f>
        <v>139729.4658203125</v>
      </c>
      <c r="D22" s="6">
        <f>D10*(1+D11)^1</f>
        <v>152928.98000000001</v>
      </c>
      <c r="E22" s="6">
        <f>E10*(1+E11)^1</f>
        <v>152928.98000000001</v>
      </c>
    </row>
    <row r="23" spans="1:5" x14ac:dyDescent="0.25">
      <c r="A23" t="s">
        <v>256</v>
      </c>
      <c r="B23" s="6">
        <f>B10*(1+B11)^2</f>
        <v>158843.16177430912</v>
      </c>
      <c r="C23" s="6">
        <f>C10*(1+C11)^2</f>
        <v>132606.53797283172</v>
      </c>
      <c r="D23" s="6">
        <f>D10*(1+D11)^2</f>
        <v>158843.16177430912</v>
      </c>
      <c r="E23" s="6">
        <f>E10*(1+E11)^2</f>
        <v>158843.16177430912</v>
      </c>
    </row>
    <row r="24" spans="1:5" x14ac:dyDescent="0.25">
      <c r="A24" t="s">
        <v>257</v>
      </c>
      <c r="B24" s="6">
        <f>B10*(1+B11)^3</f>
        <v>164986.06112758571</v>
      </c>
      <c r="C24" s="6">
        <f>C10*(1+C11)^3</f>
        <v>125846.71250195103</v>
      </c>
      <c r="D24" s="6">
        <f>D10*(1+D11)^3</f>
        <v>164986.06112758571</v>
      </c>
      <c r="E24" s="6">
        <f>E10*(1+E11)^3</f>
        <v>164986.06112758571</v>
      </c>
    </row>
    <row r="25" spans="1:5" x14ac:dyDescent="0.25">
      <c r="A25" t="s">
        <v>258</v>
      </c>
      <c r="B25" s="6">
        <f>B10*(1+B11)^4</f>
        <v>171366.52319393714</v>
      </c>
      <c r="C25" s="6">
        <f>C10*(1+C11)^4</f>
        <v>119431.47969667577</v>
      </c>
      <c r="D25" s="6">
        <f>D10*(1+D11)^4</f>
        <v>171366.52319393714</v>
      </c>
      <c r="E25" s="6">
        <f>E10*(1+E11)^4</f>
        <v>171366.52319393714</v>
      </c>
    </row>
    <row r="26" spans="1:5" x14ac:dyDescent="0.25">
      <c r="A26" t="s">
        <v>259</v>
      </c>
      <c r="B26" s="6">
        <f>B10*(1+B11)^5</f>
        <v>177993.73517298978</v>
      </c>
      <c r="C26" s="6">
        <f>C10*(1+C11)^5</f>
        <v>113343.2734074507</v>
      </c>
      <c r="D26" s="6">
        <f>D10*(1+D11)^5</f>
        <v>177993.73517298978</v>
      </c>
      <c r="E26" s="6">
        <f>E10*(1+E11)^5</f>
        <v>177993.73517298978</v>
      </c>
    </row>
    <row r="27" spans="1:5" x14ac:dyDescent="0.25">
      <c r="A27" t="s">
        <v>260</v>
      </c>
      <c r="B27" s="6">
        <f>B26*(1+(B11+(B15-B11)*1/5))</f>
        <v>184349.35004606514</v>
      </c>
      <c r="C27" s="6">
        <f>C26*(1+(C11+(C15-C11)*1/5))</f>
        <v>109261.50115547083</v>
      </c>
      <c r="D27" s="6">
        <f>D26*(1+(D11+(D15-D11)*1/5))</f>
        <v>184349.35004606514</v>
      </c>
      <c r="E27" s="6">
        <f>E26*(1+(E11+(E15-E11)*1/5))</f>
        <v>184349.35004606514</v>
      </c>
    </row>
    <row r="28" spans="1:5" x14ac:dyDescent="0.25">
      <c r="A28" t="s">
        <v>261</v>
      </c>
      <c r="B28" s="6">
        <f>B27*(1+(B11+(B15-B11)*2/5))</f>
        <v>190385.16575293418</v>
      </c>
      <c r="C28" s="6">
        <f>C27*(1+(C11+(C15-C11)*2/5))</f>
        <v>106961.72186892056</v>
      </c>
      <c r="D28" s="6">
        <f>D27*(1+(D11+(D15-D11)*2/5))</f>
        <v>190385.16575293418</v>
      </c>
      <c r="E28" s="6">
        <f>E27*(1+(E11+(E15-E11)*2/5))</f>
        <v>190385.16575293418</v>
      </c>
    </row>
    <row r="29" spans="1:5" x14ac:dyDescent="0.25">
      <c r="A29" t="s">
        <v>262</v>
      </c>
      <c r="B29" s="6">
        <f>B28*(1+(B11+(B15-B11)*3/5))</f>
        <v>196053.96148579579</v>
      </c>
      <c r="C29" s="6">
        <f>C28*(1+(C11+(C15-C11)*3/5))</f>
        <v>106310.93338496845</v>
      </c>
      <c r="D29" s="6">
        <f>D28*(1+(D11+(D15-D11)*3/5))</f>
        <v>196053.96148579579</v>
      </c>
      <c r="E29" s="6">
        <f>E28*(1+(E11+(E15-E11)*3/5))</f>
        <v>196053.96148579579</v>
      </c>
    </row>
    <row r="30" spans="1:5" x14ac:dyDescent="0.25">
      <c r="A30" t="s">
        <v>263</v>
      </c>
      <c r="B30" s="6">
        <f>B29*(1+(B11+(B15-B11)*4/5))</f>
        <v>201310.09582230725</v>
      </c>
      <c r="C30" s="6">
        <f>C29*(1+(C11+(C15-C11)*4/5))</f>
        <v>107254.95018662077</v>
      </c>
      <c r="D30" s="6">
        <f>D29*(1+(D11+(D15-D11)*4/5))</f>
        <v>201310.09582230725</v>
      </c>
      <c r="E30" s="6">
        <f>E29*(1+(E11+(E15-E11)*4/5))</f>
        <v>201310.09582230725</v>
      </c>
    </row>
    <row r="31" spans="1:5" x14ac:dyDescent="0.25">
      <c r="A31" t="s">
        <v>264</v>
      </c>
      <c r="B31" s="6">
        <f>B30*(1+(B11+(B15-B11)*5/5))</f>
        <v>206110.10456953844</v>
      </c>
      <c r="C31" s="6">
        <f>C30*(1+(C11+(C15-C11)*5/5))</f>
        <v>109812.32167351356</v>
      </c>
      <c r="D31" s="6">
        <f>D30*(1+(D11+(D15-D11)*5/5))</f>
        <v>206110.10456953844</v>
      </c>
      <c r="E31" s="6">
        <f>E30*(1+(E11+(E15-E11)*5/5))</f>
        <v>206110.10456953844</v>
      </c>
    </row>
    <row r="33" spans="1:5" x14ac:dyDescent="0.25">
      <c r="A33" t="s">
        <v>265</v>
      </c>
      <c r="B33" s="6">
        <f>B22*(B12+(B13-B12)*0/4)*(1-B17)-B22*B14</f>
        <v>-3324.3434941241894</v>
      </c>
      <c r="C33" s="6">
        <f>C22*(C12+(C13-C12)*0/4)*(1-C17)-C22*C14</f>
        <v>-3037.4147570800778</v>
      </c>
      <c r="D33" s="6">
        <f>D22*(D12+(D13-D12)*0/4)*(1-D17)-D22*D14</f>
        <v>-3324.3434941241894</v>
      </c>
      <c r="E33" s="6">
        <f>E22*(E12+(E13-E12)*0/4)*(1-E17)-E22*E14</f>
        <v>-3324.3434941241894</v>
      </c>
    </row>
    <row r="34" spans="1:5" x14ac:dyDescent="0.25">
      <c r="A34" t="s">
        <v>266</v>
      </c>
      <c r="B34" s="6">
        <f>B23*(B12+(B13-B12)*1/4)*(1-B17)-B23*B14</f>
        <v>-1995.4641855493096</v>
      </c>
      <c r="C34" s="6">
        <f>C23*(C12+(C13-C12)*1/4)*(1-C17)-C23*C14</f>
        <v>-1665.8671002182723</v>
      </c>
      <c r="D34" s="6">
        <f>D23*(D12+(D13-D12)*1/4)*(1-D17)-D23*D14</f>
        <v>-2248.2662530592202</v>
      </c>
      <c r="E34" s="6">
        <f>E23*(E12+(E13-E12)*1/4)*(1-E17)-E23*E14</f>
        <v>-1995.4641855493096</v>
      </c>
    </row>
    <row r="35" spans="1:5" x14ac:dyDescent="0.25">
      <c r="A35" t="s">
        <v>267</v>
      </c>
      <c r="B35" s="6">
        <f>B24*(B12+(B13-B12)*2/4)*(1-B17)-B24*B14</f>
        <v>-558.83026192571378</v>
      </c>
      <c r="C35" s="6">
        <f>C24*(C12+(C13-C12)*2/4)*(1-C17)-C24*C14</f>
        <v>-426.25995692794095</v>
      </c>
      <c r="D35" s="6">
        <f>D24*(D12+(D13-D12)*2/4)*(1-D17)-D24*D14</f>
        <v>-1083.9874912011137</v>
      </c>
      <c r="E35" s="6">
        <f>E24*(E12+(E13-E12)*2/4)*(1-E17)-E24*E14</f>
        <v>-558.83026192571378</v>
      </c>
    </row>
    <row r="36" spans="1:5" x14ac:dyDescent="0.25">
      <c r="A36" t="s">
        <v>268</v>
      </c>
      <c r="B36" s="6">
        <f>B25*(B12+(B13-B12)*3/4)*(1-B17)-B25*B14</f>
        <v>991.90516209585985</v>
      </c>
      <c r="C36" s="6">
        <f>C25*(C12+(C13-C12)*3/4)*(1-C17)-C25*C14</f>
        <v>691.29430311083524</v>
      </c>
      <c r="D36" s="6">
        <f>D25*(D12+(D13-D12)*3/4)*(1-D17)-D25*D14</f>
        <v>173.70541937796497</v>
      </c>
      <c r="E36" s="6">
        <f>E25*(E12+(E13-E12)*3/4)*(1-E17)-E25*E14</f>
        <v>991.90516209585985</v>
      </c>
    </row>
    <row r="37" spans="1:5" x14ac:dyDescent="0.25">
      <c r="A37" t="s">
        <v>269</v>
      </c>
      <c r="B37" s="6">
        <f>B26*(B12+(B13-B12)*4/4)*(1-B17)-B26*B14</f>
        <v>2663.4187189972181</v>
      </c>
      <c r="C37" s="6">
        <f>C26*(C12+(C13-C12)*4/4)*(1-C17)-C26*C14</f>
        <v>1696.0180973360098</v>
      </c>
      <c r="D37" s="6">
        <f>D26*(D12+(D13-D12)*4/4)*(1-D17)-D26*D14</f>
        <v>1530.2963672908936</v>
      </c>
      <c r="E37" s="6">
        <f>E26*(E12+(E13-E12)*4/4)*(1-E17)-E26*E14</f>
        <v>2663.4187189972181</v>
      </c>
    </row>
    <row r="38" spans="1:5" x14ac:dyDescent="0.25">
      <c r="A38" t="s">
        <v>270</v>
      </c>
      <c r="B38" s="6">
        <f>B27*B13*(1-B17)-B27*B14</f>
        <v>2758.5213000360072</v>
      </c>
      <c r="C38" s="6">
        <f>C27*C13*(1-C17)-C27*C14</f>
        <v>1634.9402812429844</v>
      </c>
      <c r="D38" s="6">
        <f>D27*D13*(1-D17)-D27*D14</f>
        <v>1584.9385958092989</v>
      </c>
      <c r="E38" s="6">
        <f>E27*E13*(1-E17)-E27*E14</f>
        <v>2758.5213000360072</v>
      </c>
    </row>
    <row r="39" spans="1:5" x14ac:dyDescent="0.25">
      <c r="A39" t="s">
        <v>271</v>
      </c>
      <c r="B39" s="6">
        <f>B28*B13*(1-B17)-B28*B14</f>
        <v>2848.8385492496845</v>
      </c>
      <c r="C39" s="6">
        <f>C28*C13*(1-C17)-C28*C14</f>
        <v>1600.5274116248092</v>
      </c>
      <c r="D39" s="6">
        <f>D28*D13*(1-D17)-D28*D14</f>
        <v>1636.8313595679911</v>
      </c>
      <c r="E39" s="6">
        <f>E28*E13*(1-E17)-E28*E14</f>
        <v>2848.8385492496845</v>
      </c>
    </row>
    <row r="40" spans="1:5" x14ac:dyDescent="0.25">
      <c r="A40" t="s">
        <v>272</v>
      </c>
      <c r="B40" s="6">
        <f>B29*B13*(1-B17)-B29*B14</f>
        <v>2933.663875570307</v>
      </c>
      <c r="C40" s="6">
        <f>C29*C13*(1-C17)-C29*C14</f>
        <v>1590.7893035471216</v>
      </c>
      <c r="D40" s="6">
        <f>D29*D13*(1-D17)-D29*D14</f>
        <v>1685.5686789375804</v>
      </c>
      <c r="E40" s="6">
        <f>E29*E13*(1-E17)-E29*E14</f>
        <v>2933.663875570307</v>
      </c>
    </row>
    <row r="41" spans="1:5" x14ac:dyDescent="0.25">
      <c r="A41" t="s">
        <v>273</v>
      </c>
      <c r="B41" s="6">
        <f>B30*B13*(1-B17)-B30*B14</f>
        <v>3012.3143211481965</v>
      </c>
      <c r="C41" s="6">
        <f>C30*C13*(1-C17)-C30*C14</f>
        <v>1604.9151491457042</v>
      </c>
      <c r="D41" s="6">
        <f>D30*D13*(1-D17)-D30*D14</f>
        <v>1730.75815301283</v>
      </c>
      <c r="E41" s="6">
        <f>E30*E13*(1-E17)-E30*E14</f>
        <v>3012.3143211481965</v>
      </c>
    </row>
    <row r="42" spans="1:5" x14ac:dyDescent="0.25">
      <c r="A42" t="s">
        <v>274</v>
      </c>
      <c r="B42" s="6">
        <f>B31*B13*(1-B17)-B31*B14</f>
        <v>3084.1395072217456</v>
      </c>
      <c r="C42" s="6">
        <f>C31*C13*(1-C17)-C31*C14</f>
        <v>1643.1825133481589</v>
      </c>
      <c r="D42" s="6">
        <f>D31*D13*(1-D17)-D31*D14</f>
        <v>1772.0260995600111</v>
      </c>
      <c r="E42" s="6">
        <f>E31*E13*(1-E17)-E31*E14</f>
        <v>3084.1395072217456</v>
      </c>
    </row>
    <row r="44" spans="1:5" x14ac:dyDescent="0.25">
      <c r="A44" t="s">
        <v>129</v>
      </c>
      <c r="B44" s="6">
        <f>B33/(1+B16)^1</f>
        <v>-3119.6879970692576</v>
      </c>
      <c r="C44" s="6">
        <f>C33/(1+C16)^1</f>
        <v>-2850.4233622465013</v>
      </c>
      <c r="D44" s="6">
        <f>D33/(1+D16)^1</f>
        <v>-3119.6879970692576</v>
      </c>
      <c r="E44" s="6">
        <f>E33/(1+E16)^1</f>
        <v>-3041.986812877175</v>
      </c>
    </row>
    <row r="45" spans="1:5" x14ac:dyDescent="0.25">
      <c r="A45" t="s">
        <v>130</v>
      </c>
      <c r="B45" s="6">
        <f>B34/(1+B16)^2</f>
        <v>-1757.3346732931661</v>
      </c>
      <c r="C45" s="6">
        <f>C34/(1+C16)^2</f>
        <v>-1467.0701872336715</v>
      </c>
      <c r="D45" s="6">
        <f>D34/(1+D16)^2</f>
        <v>-1979.9685055275797</v>
      </c>
      <c r="E45" s="6">
        <f>E34/(1+E16)^2</f>
        <v>-1670.8859535837014</v>
      </c>
    </row>
    <row r="46" spans="1:5" x14ac:dyDescent="0.25">
      <c r="A46" t="s">
        <v>131</v>
      </c>
      <c r="B46" s="6">
        <f>B35/(1+B16)^3</f>
        <v>-461.84444767842348</v>
      </c>
      <c r="C46" s="6">
        <f>C35/(1+C16)^3</f>
        <v>-352.28191418342186</v>
      </c>
      <c r="D46" s="6">
        <f>D35/(1+D16)^3</f>
        <v>-895.85986707113636</v>
      </c>
      <c r="E46" s="6">
        <f>E35/(1+E16)^3</f>
        <v>-428.18773382216625</v>
      </c>
    </row>
    <row r="47" spans="1:5" x14ac:dyDescent="0.25">
      <c r="A47" t="s">
        <v>132</v>
      </c>
      <c r="B47" s="6">
        <f>B36/(1+B16)^4</f>
        <v>769.29202709564515</v>
      </c>
      <c r="C47" s="6">
        <f>C36/(1+C16)^4</f>
        <v>536.14722060334509</v>
      </c>
      <c r="D47" s="6">
        <f>D36/(1+D16)^4</f>
        <v>134.72073671682284</v>
      </c>
      <c r="E47" s="6">
        <f>E36/(1+E16)^4</f>
        <v>695.46598178458191</v>
      </c>
    </row>
    <row r="48" spans="1:5" x14ac:dyDescent="0.25">
      <c r="A48" t="s">
        <v>133</v>
      </c>
      <c r="B48" s="6">
        <f>B37/(1+B16)^5</f>
        <v>1938.499971679242</v>
      </c>
      <c r="C48" s="6">
        <f>C37/(1+C16)^5</f>
        <v>1234.4026157821604</v>
      </c>
      <c r="D48" s="6">
        <f>D37/(1+D16)^5</f>
        <v>1113.7863691861146</v>
      </c>
      <c r="E48" s="6">
        <f>E37/(1+E16)^5</f>
        <v>1708.821203569697</v>
      </c>
    </row>
    <row r="49" spans="1:5" x14ac:dyDescent="0.25">
      <c r="A49" t="s">
        <v>165</v>
      </c>
      <c r="B49" s="6">
        <f>B38/(1+B16)^6</f>
        <v>1884.1174126857604</v>
      </c>
      <c r="C49" s="6">
        <f>C38/(1+C16)^6</f>
        <v>1116.6922845769045</v>
      </c>
      <c r="D49" s="6">
        <f>D38/(1+D16)^6</f>
        <v>1082.5402748795304</v>
      </c>
      <c r="E49" s="6">
        <f>E38/(1+E16)^6</f>
        <v>1619.5149207065713</v>
      </c>
    </row>
    <row r="50" spans="1:5" x14ac:dyDescent="0.25">
      <c r="A50" t="s">
        <v>166</v>
      </c>
      <c r="B50" s="6">
        <f>B39/(1+B16)^7</f>
        <v>1826.0166330758966</v>
      </c>
      <c r="C50" s="6">
        <f>C39/(1+C16)^7</f>
        <v>1025.8881381995318</v>
      </c>
      <c r="D50" s="6">
        <f>D39/(1+D16)^7</f>
        <v>1049.1578362342032</v>
      </c>
      <c r="E50" s="6">
        <f>E39/(1+E16)^7</f>
        <v>1530.480795792047</v>
      </c>
    </row>
    <row r="51" spans="1:5" x14ac:dyDescent="0.25">
      <c r="A51" t="s">
        <v>167</v>
      </c>
      <c r="B51" s="6">
        <f>B40/(1+B16)^8</f>
        <v>1764.6253551449829</v>
      </c>
      <c r="C51" s="6">
        <f>C40/(1+C16)^8</f>
        <v>956.87415423042205</v>
      </c>
      <c r="D51" s="6">
        <f>D40/(1+D16)^8</f>
        <v>1013.8848057749159</v>
      </c>
      <c r="E51" s="6">
        <f>E40/(1+E16)^8</f>
        <v>1442.1878602020222</v>
      </c>
    </row>
    <row r="52" spans="1:5" x14ac:dyDescent="0.25">
      <c r="A52" t="s">
        <v>168</v>
      </c>
      <c r="B52" s="6">
        <f>B41/(1+B16)^9</f>
        <v>1700.3867761857609</v>
      </c>
      <c r="C52" s="6">
        <f>C41/(1+C16)^9</f>
        <v>905.94015284147247</v>
      </c>
      <c r="D52" s="6">
        <f>D41/(1+D16)^9</f>
        <v>976.97582735554226</v>
      </c>
      <c r="E52" s="6">
        <f>E41/(1+E16)^9</f>
        <v>1355.0745983462327</v>
      </c>
    </row>
    <row r="53" spans="1:5" x14ac:dyDescent="0.25">
      <c r="A53" t="s">
        <v>169</v>
      </c>
      <c r="B53" s="6">
        <f>B42/(1+B16)^10</f>
        <v>1633.7542003363531</v>
      </c>
      <c r="C53" s="6">
        <f>C42/(1+C16)^10</f>
        <v>870.43933220780343</v>
      </c>
      <c r="D53" s="6">
        <f>D42/(1+D16)^10</f>
        <v>938.69135182854814</v>
      </c>
      <c r="E53" s="6">
        <f>E42/(1+E16)^10</f>
        <v>1269.545784144919</v>
      </c>
    </row>
    <row r="54" spans="1:5" x14ac:dyDescent="0.25">
      <c r="A54" t="s">
        <v>171</v>
      </c>
      <c r="B54" s="6">
        <f>SUM(B44:B53)</f>
        <v>6177.8252581627939</v>
      </c>
      <c r="C54" s="6">
        <f>SUM(C44:C53)</f>
        <v>1976.6084347780452</v>
      </c>
      <c r="D54" s="6">
        <f>SUM(D44:D53)</f>
        <v>314.2408323077043</v>
      </c>
      <c r="E54" s="6">
        <f>SUM(E44:E53)</f>
        <v>4480.030644263029</v>
      </c>
    </row>
    <row r="55" spans="1:5" x14ac:dyDescent="0.25">
      <c r="A55" t="s">
        <v>172</v>
      </c>
      <c r="B55" s="6">
        <f>B42*(1+B15)/MAX(B16-B15,0.01)</f>
        <v>75619.557102737861</v>
      </c>
      <c r="C55" s="6">
        <f>C42*(1+C15)/MAX(C16-C15,0.01)</f>
        <v>40288.947243597409</v>
      </c>
      <c r="D55" s="6">
        <f>D42*(1+D15)/MAX(D16-D15,0.01)</f>
        <v>43448.04393881969</v>
      </c>
      <c r="E55" s="6">
        <f>E42*(1+E15)/MAX(E16-E15,0.01)</f>
        <v>45779.382605400344</v>
      </c>
    </row>
    <row r="56" spans="1:5" x14ac:dyDescent="0.25">
      <c r="A56" t="s">
        <v>173</v>
      </c>
      <c r="B56" s="6">
        <f>B55/(1+B16)^10</f>
        <v>40057.775841490184</v>
      </c>
      <c r="C56" s="6">
        <f>C55/(1+C16)^10</f>
        <v>21342.172308428093</v>
      </c>
      <c r="D56" s="6">
        <f>D55/(1+D16)^10</f>
        <v>23015.633409329264</v>
      </c>
      <c r="E56" s="6">
        <f>E55/(1+E16)^10</f>
        <v>18844.485488206083</v>
      </c>
    </row>
    <row r="57" spans="1:5" x14ac:dyDescent="0.25">
      <c r="A57" t="s">
        <v>275</v>
      </c>
      <c r="B57" s="6">
        <f>B54+B56</f>
        <v>46235.60109965298</v>
      </c>
      <c r="C57" s="6">
        <f>C54+C56</f>
        <v>23318.780743206138</v>
      </c>
      <c r="D57" s="6">
        <f>D54+D56</f>
        <v>23329.874241636968</v>
      </c>
      <c r="E57" s="6">
        <f>E54+E56</f>
        <v>23324.516132469111</v>
      </c>
    </row>
    <row r="58" spans="1:5" x14ac:dyDescent="0.25">
      <c r="A58" t="s">
        <v>276</v>
      </c>
      <c r="B58" s="6">
        <f>B57+B18+B19</f>
        <v>37556.001099652982</v>
      </c>
      <c r="C58" s="6">
        <f>C57+C18+C19</f>
        <v>14639.180743206138</v>
      </c>
      <c r="D58" s="6">
        <f>D57+D18+D19</f>
        <v>14650.274241636967</v>
      </c>
      <c r="E58" s="6">
        <f>E57+E18+E19</f>
        <v>14644.91613246911</v>
      </c>
    </row>
    <row r="59" spans="1:5" x14ac:dyDescent="0.25">
      <c r="A59" s="4" t="s">
        <v>277</v>
      </c>
      <c r="B59" s="32">
        <f>B58/B20</f>
        <v>13.010011812676407</v>
      </c>
      <c r="C59" s="32">
        <f>C58/C20</f>
        <v>5.0712511668015861</v>
      </c>
      <c r="D59" s="32">
        <f>D58/D20</f>
        <v>5.0750941357387216</v>
      </c>
      <c r="E59" s="32">
        <f>E58/E20</f>
        <v>5.0732379992618251</v>
      </c>
    </row>
    <row r="60" spans="1:5" x14ac:dyDescent="0.25">
      <c r="A60" t="s">
        <v>278</v>
      </c>
      <c r="B60" s="6">
        <f>B59-B5</f>
        <v>1.1812676406819378E-5</v>
      </c>
      <c r="C60" s="6">
        <f>C59-B4</f>
        <v>1.251166801585768E-3</v>
      </c>
      <c r="D60" s="6">
        <f>D59-B4</f>
        <v>5.094135738721306E-3</v>
      </c>
      <c r="E60" s="6">
        <f>E59-B4</f>
        <v>3.2379992618247755E-3</v>
      </c>
    </row>
    <row r="62" spans="1:5" x14ac:dyDescent="0.25">
      <c r="A62" s="3" t="s">
        <v>279</v>
      </c>
    </row>
    <row r="63" spans="1:5" x14ac:dyDescent="0.25">
      <c r="A63" t="s">
        <v>280</v>
      </c>
      <c r="B63" s="45">
        <v>0.20300000000000001</v>
      </c>
    </row>
    <row r="64" spans="1:5" x14ac:dyDescent="0.25">
      <c r="A64" t="s">
        <v>281</v>
      </c>
      <c r="B64" s="46">
        <v>17.657</v>
      </c>
    </row>
    <row r="65" spans="1:3" x14ac:dyDescent="0.25">
      <c r="A65" t="s">
        <v>282</v>
      </c>
      <c r="B65" s="47">
        <v>1.1218916000000001</v>
      </c>
    </row>
    <row r="66" spans="1:3" x14ac:dyDescent="0.25">
      <c r="A66" t="s">
        <v>283</v>
      </c>
      <c r="B66" s="47"/>
    </row>
    <row r="67" spans="1:3" x14ac:dyDescent="0.25">
      <c r="A67" t="s">
        <v>284</v>
      </c>
      <c r="B67" s="47">
        <v>0.26374027</v>
      </c>
    </row>
    <row r="69" spans="1:3" x14ac:dyDescent="0.25">
      <c r="A69" s="4" t="s">
        <v>285</v>
      </c>
      <c r="B69" s="2" t="s">
        <v>286</v>
      </c>
      <c r="C69" s="2" t="s">
        <v>287</v>
      </c>
    </row>
    <row r="77" spans="1:3" x14ac:dyDescent="0.25">
      <c r="A77" s="3" t="s">
        <v>288</v>
      </c>
    </row>
    <row r="79" spans="1:3" x14ac:dyDescent="0.25">
      <c r="A79" t="s">
        <v>289</v>
      </c>
      <c r="B79" s="48">
        <v>7949</v>
      </c>
    </row>
    <row r="80" spans="1:3" x14ac:dyDescent="0.25">
      <c r="A80" t="s">
        <v>290</v>
      </c>
      <c r="B80" s="48">
        <v>30862</v>
      </c>
    </row>
    <row r="81" spans="1:2" x14ac:dyDescent="0.25">
      <c r="A81" t="s">
        <v>291</v>
      </c>
      <c r="B81" s="48">
        <v>7977</v>
      </c>
    </row>
    <row r="82" spans="1:2" x14ac:dyDescent="0.25">
      <c r="A82" t="s">
        <v>292</v>
      </c>
      <c r="B82" s="48">
        <v>8279</v>
      </c>
    </row>
    <row r="83" spans="1:2" x14ac:dyDescent="0.25">
      <c r="A83" s="4" t="s">
        <v>293</v>
      </c>
      <c r="B83" s="33">
        <f>IF(B81&gt;0,B79/B81,"")</f>
        <v>0.99648990848689989</v>
      </c>
    </row>
    <row r="84" spans="1:2" x14ac:dyDescent="0.25">
      <c r="A84" s="4" t="s">
        <v>294</v>
      </c>
      <c r="B84" s="33">
        <f>IF(B81&gt;0,B80/B81,"")</f>
        <v>3.8688730099034725</v>
      </c>
    </row>
    <row r="85" spans="1:2" x14ac:dyDescent="0.25">
      <c r="A85" s="4" t="s">
        <v>295</v>
      </c>
      <c r="B85" s="33">
        <f>IF(B82&gt;0,B79/B82,"")</f>
        <v>0.96014011354028261</v>
      </c>
    </row>
    <row r="86" spans="1:2" x14ac:dyDescent="0.25">
      <c r="A86" s="4" t="s">
        <v>296</v>
      </c>
      <c r="B86" s="33">
        <f>IF(B82&gt;0,B80/B82,"")</f>
        <v>3.7277448967266578</v>
      </c>
    </row>
    <row r="88" spans="1:2" x14ac:dyDescent="0.25">
      <c r="A88" s="4" t="s">
        <v>297</v>
      </c>
    </row>
    <row r="89" spans="1:2" x14ac:dyDescent="0.25">
      <c r="A89" t="s">
        <v>298</v>
      </c>
      <c r="B89" s="46"/>
    </row>
    <row r="90" spans="1:2" x14ac:dyDescent="0.25">
      <c r="A90" t="s">
        <v>299</v>
      </c>
      <c r="B90" s="46"/>
    </row>
    <row r="91" spans="1:2" x14ac:dyDescent="0.25">
      <c r="A91" t="s">
        <v>300</v>
      </c>
      <c r="B91" s="46"/>
    </row>
    <row r="93" spans="1:2" x14ac:dyDescent="0.25">
      <c r="A93" s="4" t="s">
        <v>301</v>
      </c>
      <c r="B93" s="49" t="s">
        <v>302</v>
      </c>
    </row>
    <row r="94" spans="1:2" x14ac:dyDescent="0.25">
      <c r="A94" t="s">
        <v>303</v>
      </c>
      <c r="B94" s="41" t="s">
        <v>304</v>
      </c>
    </row>
    <row r="96" spans="1:2" x14ac:dyDescent="0.25">
      <c r="A96" s="3" t="s">
        <v>305</v>
      </c>
    </row>
    <row r="97" spans="1:5" x14ac:dyDescent="0.25">
      <c r="A97" s="4" t="s">
        <v>306</v>
      </c>
      <c r="B97" s="50">
        <v>0.64800000000000002</v>
      </c>
    </row>
    <row r="98" spans="1:5" x14ac:dyDescent="0.25">
      <c r="A98" t="s">
        <v>307</v>
      </c>
      <c r="B98" s="46">
        <v>10.85</v>
      </c>
      <c r="C98" s="46">
        <v>12.49</v>
      </c>
      <c r="D98" s="46">
        <v>26.23</v>
      </c>
    </row>
    <row r="99" spans="1:5" x14ac:dyDescent="0.25">
      <c r="A99" s="4" t="s">
        <v>308</v>
      </c>
      <c r="B99" s="4" t="s">
        <v>309</v>
      </c>
      <c r="C99" s="4" t="s">
        <v>310</v>
      </c>
      <c r="D99" s="4" t="s">
        <v>311</v>
      </c>
      <c r="E99" s="4" t="s">
        <v>312</v>
      </c>
    </row>
    <row r="100" spans="1:5" x14ac:dyDescent="0.25">
      <c r="A100" s="51" t="s">
        <v>313</v>
      </c>
      <c r="B100" s="52">
        <v>0.89900000000000002</v>
      </c>
      <c r="C100" s="52">
        <v>1.236</v>
      </c>
      <c r="D100" s="52">
        <v>0.5</v>
      </c>
      <c r="E100" s="53">
        <v>11.132</v>
      </c>
    </row>
    <row r="101" spans="1:5" x14ac:dyDescent="0.25">
      <c r="A101" s="51" t="s">
        <v>314</v>
      </c>
      <c r="B101" s="52">
        <v>0.99</v>
      </c>
      <c r="C101" s="52">
        <v>1.361</v>
      </c>
      <c r="D101" s="52">
        <v>0.5</v>
      </c>
      <c r="E101" s="53">
        <v>26.228999999999999</v>
      </c>
    </row>
    <row r="102" spans="1:5" x14ac:dyDescent="0.25">
      <c r="A102" s="51" t="s">
        <v>315</v>
      </c>
      <c r="B102" s="52">
        <v>1.52</v>
      </c>
      <c r="C102" s="52">
        <v>1.52</v>
      </c>
      <c r="D102" s="52">
        <v>0</v>
      </c>
    </row>
    <row r="103" spans="1:5" x14ac:dyDescent="0.25">
      <c r="A103" s="51" t="s">
        <v>316</v>
      </c>
      <c r="B103" s="52">
        <v>0.94499999999999995</v>
      </c>
      <c r="C103" s="52">
        <v>1.3</v>
      </c>
      <c r="D103" s="52">
        <v>0.5</v>
      </c>
      <c r="E103" s="53">
        <v>13.846</v>
      </c>
    </row>
    <row r="104" spans="1:5" x14ac:dyDescent="0.25">
      <c r="A104" s="51" t="s">
        <v>317</v>
      </c>
      <c r="B104" s="52">
        <v>0.996</v>
      </c>
      <c r="C104" s="52">
        <v>1.369</v>
      </c>
      <c r="D104" s="52">
        <v>0.5</v>
      </c>
      <c r="E104" s="53">
        <v>10.853</v>
      </c>
    </row>
    <row r="105" spans="1:5" x14ac:dyDescent="0.25">
      <c r="A105" s="51" t="s">
        <v>6</v>
      </c>
      <c r="B105" s="52">
        <v>0.64800000000000002</v>
      </c>
      <c r="C105" s="52">
        <v>1.371</v>
      </c>
      <c r="D105" s="52">
        <v>1.488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4" t="s">
        <v>318</v>
      </c>
    </row>
    <row r="2" spans="1:2" x14ac:dyDescent="0.25">
      <c r="A2" s="2" t="s">
        <v>319</v>
      </c>
    </row>
    <row r="4" spans="1:2" x14ac:dyDescent="0.25">
      <c r="A4" s="4" t="s">
        <v>320</v>
      </c>
      <c r="B4" s="30" t="s">
        <v>321</v>
      </c>
    </row>
    <row r="5" spans="1:2" x14ac:dyDescent="0.25">
      <c r="A5" s="4" t="s">
        <v>322</v>
      </c>
      <c r="B5" s="30" t="s">
        <v>323</v>
      </c>
    </row>
    <row r="6" spans="1:2" x14ac:dyDescent="0.25">
      <c r="A6" s="4" t="s">
        <v>324</v>
      </c>
      <c r="B6" s="30" t="s">
        <v>325</v>
      </c>
    </row>
    <row r="7" spans="1:2" x14ac:dyDescent="0.25">
      <c r="A7" s="4" t="s">
        <v>326</v>
      </c>
      <c r="B7" s="30" t="s">
        <v>327</v>
      </c>
    </row>
    <row r="8" spans="1:2" x14ac:dyDescent="0.25">
      <c r="A8" s="4" t="s">
        <v>328</v>
      </c>
      <c r="B8" s="30" t="s">
        <v>329</v>
      </c>
    </row>
    <row r="9" spans="1:2" x14ac:dyDescent="0.25">
      <c r="A9" s="4" t="s">
        <v>330</v>
      </c>
      <c r="B9" s="30" t="s">
        <v>331</v>
      </c>
    </row>
    <row r="10" spans="1:2" x14ac:dyDescent="0.25">
      <c r="A10" s="4" t="s">
        <v>332</v>
      </c>
      <c r="B10" s="30" t="s">
        <v>227</v>
      </c>
    </row>
    <row r="11" spans="1:2" x14ac:dyDescent="0.25">
      <c r="A11" s="4" t="s">
        <v>333</v>
      </c>
      <c r="B11" s="30" t="s">
        <v>334</v>
      </c>
    </row>
    <row r="12" spans="1:2" x14ac:dyDescent="0.25">
      <c r="A12" s="4" t="s">
        <v>335</v>
      </c>
      <c r="B12" s="30" t="s">
        <v>336</v>
      </c>
    </row>
    <row r="13" spans="1:2" x14ac:dyDescent="0.25">
      <c r="A13" s="4" t="s">
        <v>337</v>
      </c>
      <c r="B13" s="30" t="s">
        <v>338</v>
      </c>
    </row>
    <row r="14" spans="1:2" x14ac:dyDescent="0.25">
      <c r="A14" s="4" t="s">
        <v>339</v>
      </c>
      <c r="B14" s="30" t="s">
        <v>225</v>
      </c>
    </row>
    <row r="15" spans="1:2" x14ac:dyDescent="0.25">
      <c r="A15" s="4" t="s">
        <v>340</v>
      </c>
      <c r="B15" s="30" t="s">
        <v>227</v>
      </c>
    </row>
    <row r="16" spans="1:2" x14ac:dyDescent="0.25">
      <c r="A16" s="4" t="s">
        <v>341</v>
      </c>
      <c r="B16" s="30" t="s">
        <v>229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2026-07-31T13:54:42Z</dcterms:modified>
</cp:coreProperties>
</file>